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E119" i="1"/>
  <c r="D119"/>
  <c r="F119" s="1"/>
  <c r="H119" s="1"/>
  <c r="J119" s="1"/>
  <c r="E118"/>
  <c r="D118"/>
  <c r="F118" s="1"/>
  <c r="H118" s="1"/>
  <c r="J118" s="1"/>
  <c r="E117"/>
  <c r="F117" s="1"/>
  <c r="H117" s="1"/>
  <c r="J117" s="1"/>
  <c r="E116"/>
  <c r="D116"/>
  <c r="E115"/>
  <c r="D115"/>
  <c r="E114"/>
  <c r="D114"/>
  <c r="E113"/>
  <c r="D113"/>
  <c r="F112"/>
  <c r="H112" s="1"/>
  <c r="J112" s="1"/>
  <c r="F111"/>
  <c r="H111" s="1"/>
  <c r="J111" s="1"/>
  <c r="E110"/>
  <c r="D110"/>
  <c r="F110" s="1"/>
  <c r="H110" s="1"/>
  <c r="J110" s="1"/>
  <c r="E109"/>
  <c r="D109"/>
  <c r="F109" s="1"/>
  <c r="H109" s="1"/>
  <c r="J109" s="1"/>
  <c r="E108"/>
  <c r="D108"/>
  <c r="F108" s="1"/>
  <c r="H108" s="1"/>
  <c r="J108" s="1"/>
  <c r="E107"/>
  <c r="D107"/>
  <c r="F107" s="1"/>
  <c r="H107" s="1"/>
  <c r="J107" s="1"/>
  <c r="E106"/>
  <c r="D106"/>
  <c r="F106" s="1"/>
  <c r="H106" s="1"/>
  <c r="J106" s="1"/>
  <c r="E105"/>
  <c r="D105"/>
  <c r="F105" s="1"/>
  <c r="H105" s="1"/>
  <c r="J105" s="1"/>
  <c r="F104"/>
  <c r="H104" s="1"/>
  <c r="J104" s="1"/>
  <c r="E103"/>
  <c r="D103"/>
  <c r="E102"/>
  <c r="D102"/>
  <c r="E101"/>
  <c r="D101"/>
  <c r="E100"/>
  <c r="D100"/>
  <c r="E99"/>
  <c r="D99"/>
  <c r="E98"/>
  <c r="D98"/>
  <c r="E97"/>
  <c r="D97"/>
  <c r="F96"/>
  <c r="H96" s="1"/>
  <c r="J96" s="1"/>
  <c r="F95"/>
  <c r="H95" s="1"/>
  <c r="J95" s="1"/>
  <c r="E94"/>
  <c r="D94"/>
  <c r="F93"/>
  <c r="H93" s="1"/>
  <c r="J93" s="1"/>
  <c r="E92"/>
  <c r="D92"/>
  <c r="F92" s="1"/>
  <c r="H92" s="1"/>
  <c r="J92" s="1"/>
  <c r="E91"/>
  <c r="D91"/>
  <c r="F91" s="1"/>
  <c r="H91" s="1"/>
  <c r="J91" s="1"/>
  <c r="E90"/>
  <c r="D90"/>
  <c r="F90" s="1"/>
  <c r="H90" s="1"/>
  <c r="J90" s="1"/>
  <c r="F89"/>
  <c r="H89" s="1"/>
  <c r="J89" s="1"/>
  <c r="E88"/>
  <c r="D88"/>
  <c r="F87"/>
  <c r="H87" s="1"/>
  <c r="J87" s="1"/>
  <c r="E86"/>
  <c r="D86"/>
  <c r="F86" s="1"/>
  <c r="H86" s="1"/>
  <c r="J86" s="1"/>
  <c r="E85"/>
  <c r="F85" s="1"/>
  <c r="H85" s="1"/>
  <c r="J85" s="1"/>
  <c r="F84"/>
  <c r="H84" s="1"/>
  <c r="J84" s="1"/>
  <c r="E83"/>
  <c r="D83"/>
  <c r="E82"/>
  <c r="D82"/>
  <c r="F82" s="1"/>
  <c r="H82" s="1"/>
  <c r="J82" s="1"/>
  <c r="E81"/>
  <c r="D81"/>
  <c r="F81" s="1"/>
  <c r="H81" s="1"/>
  <c r="J81" s="1"/>
  <c r="E80"/>
  <c r="D80"/>
  <c r="F80" s="1"/>
  <c r="H80" s="1"/>
  <c r="J80" s="1"/>
  <c r="E79"/>
  <c r="D79"/>
  <c r="F79" s="1"/>
  <c r="H79" s="1"/>
  <c r="J79" s="1"/>
  <c r="F78"/>
  <c r="H78" s="1"/>
  <c r="J78" s="1"/>
  <c r="F77"/>
  <c r="H77" s="1"/>
  <c r="J77" s="1"/>
  <c r="F76"/>
  <c r="H76" s="1"/>
  <c r="J76" s="1"/>
  <c r="F75"/>
  <c r="H75" s="1"/>
  <c r="J75" s="1"/>
  <c r="F74"/>
  <c r="H74" s="1"/>
  <c r="J74" s="1"/>
  <c r="E73"/>
  <c r="D73"/>
  <c r="F72"/>
  <c r="H72" s="1"/>
  <c r="J72" s="1"/>
  <c r="E71"/>
  <c r="D71"/>
  <c r="F71" s="1"/>
  <c r="H71" s="1"/>
  <c r="J71" s="1"/>
  <c r="F70"/>
  <c r="H70" s="1"/>
  <c r="J70" s="1"/>
  <c r="F69"/>
  <c r="H69" s="1"/>
  <c r="J69" s="1"/>
  <c r="F68"/>
  <c r="H68" s="1"/>
  <c r="J68" s="1"/>
  <c r="F67"/>
  <c r="H67" s="1"/>
  <c r="J67" s="1"/>
  <c r="F66"/>
  <c r="H66" s="1"/>
  <c r="J66" s="1"/>
  <c r="E65"/>
  <c r="D65"/>
  <c r="F64"/>
  <c r="H64" s="1"/>
  <c r="J64" s="1"/>
  <c r="E64"/>
  <c r="F63"/>
  <c r="H63" s="1"/>
  <c r="J63" s="1"/>
  <c r="E62"/>
  <c r="D62"/>
  <c r="F62" s="1"/>
  <c r="H62" s="1"/>
  <c r="J62" s="1"/>
  <c r="E61"/>
  <c r="D61"/>
  <c r="F61" s="1"/>
  <c r="H61" s="1"/>
  <c r="J61" s="1"/>
  <c r="E60"/>
  <c r="D60"/>
  <c r="F60" s="1"/>
  <c r="H60" s="1"/>
  <c r="J60" s="1"/>
  <c r="E59"/>
  <c r="D59"/>
  <c r="F59" s="1"/>
  <c r="H59" s="1"/>
  <c r="J59" s="1"/>
  <c r="E58"/>
  <c r="D58"/>
  <c r="F58" s="1"/>
  <c r="H58" s="1"/>
  <c r="J58" s="1"/>
  <c r="E57"/>
  <c r="D57"/>
  <c r="F57" s="1"/>
  <c r="H57" s="1"/>
  <c r="J57" s="1"/>
  <c r="E56"/>
  <c r="D56"/>
  <c r="F56" s="1"/>
  <c r="H56" s="1"/>
  <c r="J56" s="1"/>
  <c r="E55"/>
  <c r="D55"/>
  <c r="F55" s="1"/>
  <c r="H55" s="1"/>
  <c r="J55" s="1"/>
  <c r="E54"/>
  <c r="D54"/>
  <c r="F54" s="1"/>
  <c r="H54" s="1"/>
  <c r="J54" s="1"/>
  <c r="E53"/>
  <c r="D53"/>
  <c r="F53" s="1"/>
  <c r="H53" s="1"/>
  <c r="J53" s="1"/>
  <c r="E52"/>
  <c r="D52"/>
  <c r="F52" s="1"/>
  <c r="H52" s="1"/>
  <c r="J52" s="1"/>
  <c r="F51"/>
  <c r="H51" s="1"/>
  <c r="J51" s="1"/>
  <c r="F50"/>
  <c r="H50" s="1"/>
  <c r="J50" s="1"/>
  <c r="F49"/>
  <c r="H49" s="1"/>
  <c r="J49" s="1"/>
  <c r="E48"/>
  <c r="D48"/>
  <c r="E47"/>
  <c r="D47"/>
  <c r="E46"/>
  <c r="D46"/>
  <c r="E45"/>
  <c r="D45"/>
  <c r="E44"/>
  <c r="D44"/>
  <c r="F43"/>
  <c r="H43" s="1"/>
  <c r="J43" s="1"/>
  <c r="E42"/>
  <c r="D42"/>
  <c r="F42" s="1"/>
  <c r="H42" s="1"/>
  <c r="J42" s="1"/>
  <c r="E41"/>
  <c r="D41"/>
  <c r="F41" s="1"/>
  <c r="H41" s="1"/>
  <c r="J41" s="1"/>
  <c r="F40"/>
  <c r="H40" s="1"/>
  <c r="J40" s="1"/>
  <c r="F39"/>
  <c r="H39" s="1"/>
  <c r="J39" s="1"/>
  <c r="F38"/>
  <c r="H38" s="1"/>
  <c r="J38" s="1"/>
  <c r="E37"/>
  <c r="D37"/>
  <c r="F36"/>
  <c r="H36" s="1"/>
  <c r="J36" s="1"/>
  <c r="F35"/>
  <c r="H35" s="1"/>
  <c r="J35" s="1"/>
  <c r="E34"/>
  <c r="D34"/>
  <c r="F33"/>
  <c r="H33" s="1"/>
  <c r="J33" s="1"/>
  <c r="F32"/>
  <c r="H32" s="1"/>
  <c r="J32" s="1"/>
  <c r="E31"/>
  <c r="D31"/>
  <c r="F30"/>
  <c r="H30" s="1"/>
  <c r="J30" s="1"/>
  <c r="F29"/>
  <c r="H29" s="1"/>
  <c r="J29" s="1"/>
  <c r="F28"/>
  <c r="H28" s="1"/>
  <c r="J28" s="1"/>
  <c r="F27"/>
  <c r="H27" s="1"/>
  <c r="J27" s="1"/>
  <c r="E26"/>
  <c r="D26"/>
  <c r="E25"/>
  <c r="D25"/>
  <c r="F24"/>
  <c r="H24" s="1"/>
  <c r="J24" s="1"/>
  <c r="E23"/>
  <c r="D23"/>
  <c r="F23" s="1"/>
  <c r="H23" s="1"/>
  <c r="J23" s="1"/>
  <c r="F22"/>
  <c r="H22" s="1"/>
  <c r="J22" s="1"/>
  <c r="F21"/>
  <c r="H21" s="1"/>
  <c r="J21" s="1"/>
  <c r="E20"/>
  <c r="D20"/>
  <c r="F20" s="1"/>
  <c r="H20" s="1"/>
  <c r="J20" s="1"/>
  <c r="E19"/>
  <c r="D19"/>
  <c r="F19" s="1"/>
  <c r="H19" s="1"/>
  <c r="J19" s="1"/>
  <c r="E18"/>
  <c r="D18"/>
  <c r="F18" s="1"/>
  <c r="H18" s="1"/>
  <c r="J18" s="1"/>
  <c r="F17"/>
  <c r="H17" s="1"/>
  <c r="J17" s="1"/>
  <c r="F16"/>
  <c r="H16" s="1"/>
  <c r="J16" s="1"/>
  <c r="E15"/>
  <c r="D15"/>
  <c r="F15" s="1"/>
  <c r="H15" s="1"/>
  <c r="J15" s="1"/>
  <c r="F113" l="1"/>
  <c r="H113" s="1"/>
  <c r="J113" s="1"/>
  <c r="F114"/>
  <c r="H114" s="1"/>
  <c r="J114" s="1"/>
  <c r="F115"/>
  <c r="H115" s="1"/>
  <c r="J115" s="1"/>
  <c r="F94"/>
  <c r="H94" s="1"/>
  <c r="J94" s="1"/>
  <c r="F25"/>
  <c r="H25" s="1"/>
  <c r="J25" s="1"/>
  <c r="F26"/>
  <c r="H26" s="1"/>
  <c r="J26" s="1"/>
  <c r="F31"/>
  <c r="H31" s="1"/>
  <c r="J31" s="1"/>
  <c r="F34"/>
  <c r="H34" s="1"/>
  <c r="J34" s="1"/>
  <c r="F37"/>
  <c r="H37" s="1"/>
  <c r="J37" s="1"/>
  <c r="F44"/>
  <c r="H44" s="1"/>
  <c r="J44" s="1"/>
  <c r="F45"/>
  <c r="H45" s="1"/>
  <c r="J45" s="1"/>
  <c r="F46"/>
  <c r="H46" s="1"/>
  <c r="J46" s="1"/>
  <c r="F47"/>
  <c r="H47" s="1"/>
  <c r="J47" s="1"/>
  <c r="F48"/>
  <c r="H48" s="1"/>
  <c r="J48" s="1"/>
  <c r="F65"/>
  <c r="H65" s="1"/>
  <c r="J65" s="1"/>
  <c r="F73"/>
  <c r="H73" s="1"/>
  <c r="J73" s="1"/>
  <c r="F116"/>
  <c r="H116" s="1"/>
  <c r="J116" s="1"/>
  <c r="F83"/>
  <c r="H83" s="1"/>
  <c r="J83" s="1"/>
  <c r="F88"/>
  <c r="H88" s="1"/>
  <c r="J88" s="1"/>
  <c r="F97"/>
  <c r="H97" s="1"/>
  <c r="J97" s="1"/>
  <c r="F98"/>
  <c r="H98" s="1"/>
  <c r="J98" s="1"/>
  <c r="F99"/>
  <c r="H99" s="1"/>
  <c r="J99" s="1"/>
  <c r="F100"/>
  <c r="H100" s="1"/>
  <c r="J100" s="1"/>
  <c r="F101"/>
  <c r="H101" s="1"/>
  <c r="J101" s="1"/>
  <c r="F102"/>
  <c r="H102" s="1"/>
  <c r="J102" s="1"/>
  <c r="F103"/>
  <c r="H103" s="1"/>
  <c r="J103" s="1"/>
</calcChain>
</file>

<file path=xl/sharedStrings.xml><?xml version="1.0" encoding="utf-8"?>
<sst xmlns="http://schemas.openxmlformats.org/spreadsheetml/2006/main" count="339" uniqueCount="213">
  <si>
    <t xml:space="preserve">REPUBLIQUE ALGERIENNE DEMOCRATIQUE ET POPULAIRE </t>
  </si>
  <si>
    <t>Ministère de l'Enseignement Supérieur et de la Recherche Scientifique</t>
  </si>
  <si>
    <t>Faculté des Sciences de la Nature et de la Vie</t>
  </si>
  <si>
    <t xml:space="preserve">Département Sciences  Alimentaires   </t>
  </si>
  <si>
    <t>2015/2016</t>
  </si>
  <si>
    <t>N°</t>
  </si>
  <si>
    <t>Nom</t>
  </si>
  <si>
    <t>Prénom</t>
  </si>
  <si>
    <t>M1</t>
  </si>
  <si>
    <t>M2</t>
  </si>
  <si>
    <t>M1+M2/2</t>
  </si>
  <si>
    <t>a</t>
  </si>
  <si>
    <r>
      <t>A=</t>
    </r>
    <r>
      <rPr>
        <sz val="10"/>
        <rFont val="Symbol"/>
        <family val="1"/>
        <charset val="2"/>
      </rPr>
      <t>a</t>
    </r>
    <r>
      <rPr>
        <sz val="10"/>
        <rFont val="Times New Roman"/>
        <family val="1"/>
      </rPr>
      <t>x (M1+M2)/2</t>
    </r>
  </si>
  <si>
    <t>b</t>
  </si>
  <si>
    <r>
      <t>B=</t>
    </r>
    <r>
      <rPr>
        <b/>
        <sz val="11"/>
        <rFont val="Symbol"/>
        <family val="1"/>
        <charset val="2"/>
      </rPr>
      <t>b</t>
    </r>
    <r>
      <rPr>
        <b/>
        <sz val="11"/>
        <rFont val="Arial"/>
        <family val="2"/>
      </rPr>
      <t>xA</t>
    </r>
  </si>
  <si>
    <t xml:space="preserve">Observation  </t>
  </si>
  <si>
    <t>GUERGUOURI</t>
  </si>
  <si>
    <t>Zoubeyda</t>
  </si>
  <si>
    <t>Admis à passer le concours</t>
  </si>
  <si>
    <t>MOUHOUBI</t>
  </si>
  <si>
    <t>Khokha</t>
  </si>
  <si>
    <t>BOUSSAID</t>
  </si>
  <si>
    <t>Khadidja</t>
  </si>
  <si>
    <t>BELHOCINE</t>
  </si>
  <si>
    <t>Thanina</t>
  </si>
  <si>
    <t>DJAOUD</t>
  </si>
  <si>
    <t>Kahina</t>
  </si>
  <si>
    <t>KSOURI</t>
  </si>
  <si>
    <t>Amirouche</t>
  </si>
  <si>
    <t>KENNAS</t>
  </si>
  <si>
    <t>A/Rezak</t>
  </si>
  <si>
    <t>DJAFRI</t>
  </si>
  <si>
    <t>Souad</t>
  </si>
  <si>
    <t>MERABTI</t>
  </si>
  <si>
    <t>Celia</t>
  </si>
  <si>
    <t xml:space="preserve">MOKRANI </t>
  </si>
  <si>
    <t>Dyhia</t>
  </si>
  <si>
    <t>IDIRI</t>
  </si>
  <si>
    <t>Samia</t>
  </si>
  <si>
    <t>OUAISSA</t>
  </si>
  <si>
    <t>Adada</t>
  </si>
  <si>
    <t>GALOUZE</t>
  </si>
  <si>
    <t>Mohand Salah</t>
  </si>
  <si>
    <t>GUENOUNOU</t>
  </si>
  <si>
    <t>Mounia</t>
  </si>
  <si>
    <t>DJEBARI</t>
  </si>
  <si>
    <t>Sabrina</t>
  </si>
  <si>
    <t>AIT CHIBANE</t>
  </si>
  <si>
    <t xml:space="preserve">BAHA </t>
  </si>
  <si>
    <t>Karima</t>
  </si>
  <si>
    <t xml:space="preserve">BELLACHE </t>
  </si>
  <si>
    <t>Meliha</t>
  </si>
  <si>
    <t>BENHAMMOUCHE</t>
  </si>
  <si>
    <t>Tassadit</t>
  </si>
  <si>
    <t xml:space="preserve">AICHI </t>
  </si>
  <si>
    <t>Ahlem</t>
  </si>
  <si>
    <t>BELLOUL</t>
  </si>
  <si>
    <t>Tinhinene</t>
  </si>
  <si>
    <t>ZIDAT</t>
  </si>
  <si>
    <t>Rahima</t>
  </si>
  <si>
    <t>BOUMEDJANE</t>
  </si>
  <si>
    <t>Asma</t>
  </si>
  <si>
    <t>AYOUAZ</t>
  </si>
  <si>
    <t>Siham</t>
  </si>
  <si>
    <t>IDIR</t>
  </si>
  <si>
    <t>DJOUDER</t>
  </si>
  <si>
    <t>Oualid</t>
  </si>
  <si>
    <t>BENMAHAMED</t>
  </si>
  <si>
    <t>Ahmed</t>
  </si>
  <si>
    <t>OULMI</t>
  </si>
  <si>
    <t>Hassen Ryadh</t>
  </si>
  <si>
    <t>TAIBI</t>
  </si>
  <si>
    <t>Abdeslem</t>
  </si>
  <si>
    <t>LACHI</t>
  </si>
  <si>
    <t>Djazia</t>
  </si>
  <si>
    <t>MOUSSI</t>
  </si>
  <si>
    <t>Chafia</t>
  </si>
  <si>
    <t>BELMAHDI</t>
  </si>
  <si>
    <t>Farroudja</t>
  </si>
  <si>
    <t>ADJIMI</t>
  </si>
  <si>
    <t>Lynda</t>
  </si>
  <si>
    <t>HERROUG</t>
  </si>
  <si>
    <t>Yamina</t>
  </si>
  <si>
    <t>KHEMILA</t>
  </si>
  <si>
    <t>Billal</t>
  </si>
  <si>
    <t>SEDDAOUI</t>
  </si>
  <si>
    <t>Nouria</t>
  </si>
  <si>
    <t>MOKRANE</t>
  </si>
  <si>
    <t>AMESSIS</t>
  </si>
  <si>
    <t>Nassima</t>
  </si>
  <si>
    <t>ZOUHANI</t>
  </si>
  <si>
    <t xml:space="preserve">MAHDI </t>
  </si>
  <si>
    <t>Sara Meriem</t>
  </si>
  <si>
    <t>KHIMA</t>
  </si>
  <si>
    <t>Souhila</t>
  </si>
  <si>
    <t>AIT MANSOUR</t>
  </si>
  <si>
    <t>Katia</t>
  </si>
  <si>
    <t>IDOUI</t>
  </si>
  <si>
    <t>Hamza</t>
  </si>
  <si>
    <t>MECELLEM</t>
  </si>
  <si>
    <t>Radia</t>
  </si>
  <si>
    <t>BENATSOU</t>
  </si>
  <si>
    <t>SALHI</t>
  </si>
  <si>
    <t>Malika</t>
  </si>
  <si>
    <t>SAHNOUNE</t>
  </si>
  <si>
    <t>Hadjer</t>
  </si>
  <si>
    <t>SELLI</t>
  </si>
  <si>
    <t>Nadjim</t>
  </si>
  <si>
    <t>MESSIOUD</t>
  </si>
  <si>
    <t>Yassamin</t>
  </si>
  <si>
    <t>BOUCHAL</t>
  </si>
  <si>
    <t>AIT CHEIKH</t>
  </si>
  <si>
    <t>Saida</t>
  </si>
  <si>
    <t>BAZIZEN</t>
  </si>
  <si>
    <t>Ferroudja</t>
  </si>
  <si>
    <t>MOHDEB</t>
  </si>
  <si>
    <t>Hakim</t>
  </si>
  <si>
    <t>OUAHRANI</t>
  </si>
  <si>
    <t>Sara</t>
  </si>
  <si>
    <t>CHABOU</t>
  </si>
  <si>
    <t>Fouad</t>
  </si>
  <si>
    <t>AMZAL</t>
  </si>
  <si>
    <t>Hakima</t>
  </si>
  <si>
    <t>BENHAMZA</t>
  </si>
  <si>
    <t>Imene</t>
  </si>
  <si>
    <t>Amel</t>
  </si>
  <si>
    <t>BENKCHIDA</t>
  </si>
  <si>
    <t>Sana</t>
  </si>
  <si>
    <t xml:space="preserve">SAIDANI </t>
  </si>
  <si>
    <t>BOUMAZA</t>
  </si>
  <si>
    <t>Halim</t>
  </si>
  <si>
    <t>CHENNI</t>
  </si>
  <si>
    <t>Lyes</t>
  </si>
  <si>
    <t>CHACHOUA</t>
  </si>
  <si>
    <t>Salima</t>
  </si>
  <si>
    <t>BENBOURICHE</t>
  </si>
  <si>
    <t>Aicha</t>
  </si>
  <si>
    <t>BOUDRA</t>
  </si>
  <si>
    <t>Messaada Amira</t>
  </si>
  <si>
    <t>BOUHAROUN</t>
  </si>
  <si>
    <t>Naoual</t>
  </si>
  <si>
    <t>BOUHEDDOU</t>
  </si>
  <si>
    <t>AYAD</t>
  </si>
  <si>
    <t>Mouloud</t>
  </si>
  <si>
    <t>OUYAHIA</t>
  </si>
  <si>
    <t>A/Halim</t>
  </si>
  <si>
    <t>BOUTEBIBA</t>
  </si>
  <si>
    <t>Manal</t>
  </si>
  <si>
    <t>BOUCHERGUINE</t>
  </si>
  <si>
    <t>Yassine</t>
  </si>
  <si>
    <t>HACHEMI</t>
  </si>
  <si>
    <t>ARABI</t>
  </si>
  <si>
    <t>Takfarinas</t>
  </si>
  <si>
    <t>AISSAT</t>
  </si>
  <si>
    <t>Sabira</t>
  </si>
  <si>
    <t>HAMZAOUI</t>
  </si>
  <si>
    <t>Fahima</t>
  </si>
  <si>
    <t>MERABET</t>
  </si>
  <si>
    <t>Yasmina</t>
  </si>
  <si>
    <t>BEKTACHE</t>
  </si>
  <si>
    <t>Nawel</t>
  </si>
  <si>
    <t>KHENOUS</t>
  </si>
  <si>
    <t>Kenza</t>
  </si>
  <si>
    <t>KECHADI</t>
  </si>
  <si>
    <t>Khanchla</t>
  </si>
  <si>
    <t>SEDDI</t>
  </si>
  <si>
    <t>Ines</t>
  </si>
  <si>
    <t>BENSADIA</t>
  </si>
  <si>
    <t>AKRETCHE</t>
  </si>
  <si>
    <t>Hassina</t>
  </si>
  <si>
    <t>BAHLOULI</t>
  </si>
  <si>
    <t>Salma</t>
  </si>
  <si>
    <t xml:space="preserve">CHERGUI </t>
  </si>
  <si>
    <t>Nora</t>
  </si>
  <si>
    <t>CHEGHIB</t>
  </si>
  <si>
    <t>Haroun</t>
  </si>
  <si>
    <t>HEDJOUDJ</t>
  </si>
  <si>
    <t>Oussama</t>
  </si>
  <si>
    <t>BOUCHEMAL</t>
  </si>
  <si>
    <t>ABOURA</t>
  </si>
  <si>
    <t>YOUS</t>
  </si>
  <si>
    <t>Fouzia</t>
  </si>
  <si>
    <t>BOUDJMAI</t>
  </si>
  <si>
    <t>A/Kader</t>
  </si>
  <si>
    <t>MEZIANT</t>
  </si>
  <si>
    <t>Younnes</t>
  </si>
  <si>
    <t>TACHOUGAFT</t>
  </si>
  <si>
    <t>Djilali</t>
  </si>
  <si>
    <t>BENNAI</t>
  </si>
  <si>
    <t>Berkahoum</t>
  </si>
  <si>
    <t>BEDDAR</t>
  </si>
  <si>
    <t>GUERRI</t>
  </si>
  <si>
    <t>SEKOUR</t>
  </si>
  <si>
    <t>A/Rahim</t>
  </si>
  <si>
    <t>BOUZID</t>
  </si>
  <si>
    <t>Ouissam</t>
  </si>
  <si>
    <t>OUGHLICI</t>
  </si>
  <si>
    <t>BOUSSAD</t>
  </si>
  <si>
    <t>OULD AMARA</t>
  </si>
  <si>
    <t>DJIDI</t>
  </si>
  <si>
    <t>BALIT</t>
  </si>
  <si>
    <t>Ziri</t>
  </si>
  <si>
    <t>SOUADKIA</t>
  </si>
  <si>
    <t>Amine</t>
  </si>
  <si>
    <t>Intitulé de l'offre de formation: Sciences Biologiques option : Agro-ressources, Bioprocédés et Sciences Alimentaires</t>
  </si>
  <si>
    <t xml:space="preserve">Responsable de formation: Pr ZAIDI Farid </t>
  </si>
  <si>
    <t>Date du concours : 17 octobre 2015</t>
  </si>
  <si>
    <t>Nombre de dossiers reçus: 105</t>
  </si>
  <si>
    <t>Nombre de dossiers retenus: 105</t>
  </si>
  <si>
    <t>Lieu du concours : Université de Bejaia, Campus de Targa-Ouzemour</t>
  </si>
  <si>
    <t>Université A.Mira –Bejaia</t>
  </si>
  <si>
    <t>Situation nominative des dossiers de cadidature au concours du Doctorat LMD</t>
  </si>
  <si>
    <t>Fadila</t>
  </si>
</sst>
</file>

<file path=xl/styles.xml><?xml version="1.0" encoding="utf-8"?>
<styleSheet xmlns="http://schemas.openxmlformats.org/spreadsheetml/2006/main">
  <numFmts count="1">
    <numFmt numFmtId="164" formatCode="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name val="Arial"/>
      <family val="2"/>
    </font>
    <font>
      <b/>
      <u/>
      <sz val="11"/>
      <color indexed="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Symbol"/>
      <family val="1"/>
      <charset val="2"/>
    </font>
    <font>
      <sz val="10"/>
      <name val="Symbol"/>
      <family val="1"/>
      <charset val="2"/>
    </font>
    <font>
      <sz val="10"/>
      <name val="Times New Roman"/>
      <family val="1"/>
    </font>
    <font>
      <b/>
      <sz val="11"/>
      <name val="Times New Roman"/>
      <family val="1"/>
    </font>
    <font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2" fillId="0" borderId="0" xfId="0" applyFont="1"/>
    <xf numFmtId="0" fontId="8" fillId="0" borderId="0" xfId="1" applyFont="1" applyAlignment="1"/>
    <xf numFmtId="0" fontId="3" fillId="0" borderId="0" xfId="1" applyFont="1" applyAlignment="1"/>
    <xf numFmtId="0" fontId="3" fillId="0" borderId="0" xfId="1" applyFont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7" fillId="3" borderId="1" xfId="0" applyNumberFormat="1" applyFont="1" applyFill="1" applyBorder="1" applyAlignment="1">
      <alignment horizontal="left"/>
    </xf>
    <xf numFmtId="0" fontId="0" fillId="0" borderId="1" xfId="0" applyFont="1" applyFill="1" applyBorder="1"/>
    <xf numFmtId="164" fontId="3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0" fillId="0" borderId="0" xfId="0" applyAlignment="1"/>
    <xf numFmtId="0" fontId="9" fillId="0" borderId="0" xfId="0" applyFont="1" applyAlignment="1"/>
    <xf numFmtId="0" fontId="9" fillId="0" borderId="0" xfId="1" applyFont="1" applyAlignment="1"/>
    <xf numFmtId="0" fontId="17" fillId="0" borderId="0" xfId="1" applyFont="1" applyAlignment="1"/>
    <xf numFmtId="0" fontId="1" fillId="0" borderId="0" xfId="0" applyFont="1"/>
    <xf numFmtId="0" fontId="17" fillId="0" borderId="0" xfId="1" applyFont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3" xfId="0" applyFont="1" applyFill="1" applyBorder="1"/>
    <xf numFmtId="0" fontId="18" fillId="0" borderId="0" xfId="0" applyFont="1" applyAlignment="1"/>
    <xf numFmtId="0" fontId="19" fillId="0" borderId="0" xfId="0" applyFont="1" applyAlignment="1"/>
    <xf numFmtId="0" fontId="20" fillId="0" borderId="0" xfId="0" applyFont="1" applyAlignment="1"/>
    <xf numFmtId="0" fontId="20" fillId="0" borderId="0" xfId="0" applyFont="1"/>
    <xf numFmtId="0" fontId="4" fillId="0" borderId="0" xfId="1" applyFont="1" applyAlignment="1">
      <alignment horizontal="center"/>
    </xf>
    <xf numFmtId="0" fontId="5" fillId="0" borderId="0" xfId="1" applyFont="1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0" fillId="0" borderId="1" xfId="0" applyFill="1" applyBorder="1"/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47624</xdr:rowOff>
    </xdr:from>
    <xdr:to>
      <xdr:col>2</xdr:col>
      <xdr:colOff>304800</xdr:colOff>
      <xdr:row>3</xdr:row>
      <xdr:rowOff>19049</xdr:rowOff>
    </xdr:to>
    <xdr:pic>
      <xdr:nvPicPr>
        <xdr:cNvPr id="2" name="Picture 1" descr="Sans titr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47624"/>
          <a:ext cx="10858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topLeftCell="B11" workbookViewId="0">
      <selection activeCell="C30" sqref="C30"/>
    </sheetView>
  </sheetViews>
  <sheetFormatPr baseColWidth="10" defaultRowHeight="15"/>
  <cols>
    <col min="1" max="1" width="4.140625" customWidth="1"/>
    <col min="2" max="2" width="13.28515625" customWidth="1"/>
    <col min="3" max="3" width="14" customWidth="1"/>
    <col min="7" max="7" width="8" customWidth="1"/>
    <col min="8" max="8" width="15.28515625" customWidth="1"/>
    <col min="11" max="11" width="24.7109375" customWidth="1"/>
  </cols>
  <sheetData>
    <row r="1" spans="1:11">
      <c r="A1" s="1"/>
      <c r="C1" s="34" t="s">
        <v>0</v>
      </c>
      <c r="D1" s="34"/>
      <c r="E1" s="34"/>
      <c r="F1" s="34"/>
      <c r="G1" s="34"/>
      <c r="H1" s="34"/>
      <c r="I1" s="34"/>
    </row>
    <row r="2" spans="1:11">
      <c r="A2" s="1"/>
      <c r="C2" s="35" t="s">
        <v>1</v>
      </c>
      <c r="D2" s="35"/>
      <c r="E2" s="35"/>
      <c r="F2" s="35"/>
      <c r="G2" s="35"/>
      <c r="H2" s="35"/>
      <c r="I2" s="35"/>
    </row>
    <row r="3" spans="1:11">
      <c r="A3" s="1"/>
      <c r="C3" s="36" t="s">
        <v>210</v>
      </c>
      <c r="D3" s="36"/>
      <c r="E3" s="36"/>
      <c r="F3" s="36"/>
      <c r="G3" s="36"/>
      <c r="H3" s="36"/>
      <c r="I3" s="36"/>
    </row>
    <row r="4" spans="1:11">
      <c r="A4" s="1"/>
      <c r="B4" s="18" t="s">
        <v>2</v>
      </c>
      <c r="C4" s="18"/>
      <c r="D4" s="18"/>
      <c r="E4" s="18"/>
      <c r="G4" s="2"/>
      <c r="H4" s="2"/>
      <c r="I4" s="2"/>
    </row>
    <row r="5" spans="1:11">
      <c r="A5" s="1"/>
      <c r="B5" s="19" t="s">
        <v>3</v>
      </c>
      <c r="C5" s="19"/>
      <c r="D5" s="19"/>
      <c r="E5" s="20"/>
      <c r="F5" s="3"/>
      <c r="G5" s="3"/>
      <c r="H5" s="3"/>
      <c r="I5" s="3"/>
    </row>
    <row r="6" spans="1:11">
      <c r="A6" s="1"/>
      <c r="B6" s="20" t="s">
        <v>204</v>
      </c>
      <c r="C6" s="21"/>
      <c r="D6" s="4"/>
      <c r="E6" s="4"/>
      <c r="F6" s="4"/>
      <c r="G6" s="4"/>
      <c r="H6" s="4"/>
      <c r="I6" s="4"/>
    </row>
    <row r="7" spans="1:11">
      <c r="A7" s="1"/>
      <c r="B7" s="20" t="s">
        <v>205</v>
      </c>
      <c r="C7" s="21"/>
      <c r="D7" s="4"/>
      <c r="E7" s="4"/>
      <c r="F7" s="4"/>
      <c r="G7" s="4"/>
      <c r="H7" s="4"/>
      <c r="I7" s="4"/>
    </row>
    <row r="8" spans="1:11">
      <c r="A8" s="1"/>
      <c r="B8" s="20" t="s">
        <v>206</v>
      </c>
      <c r="C8" s="21"/>
      <c r="D8" s="4"/>
      <c r="E8" s="4"/>
      <c r="F8" s="4"/>
      <c r="G8" s="4"/>
      <c r="H8" s="4"/>
      <c r="I8" s="4"/>
    </row>
    <row r="9" spans="1:11">
      <c r="A9" s="1"/>
      <c r="B9" s="20" t="s">
        <v>209</v>
      </c>
      <c r="C9" s="4"/>
      <c r="D9" s="4"/>
      <c r="E9" s="4"/>
      <c r="F9" s="4"/>
      <c r="G9" s="4"/>
      <c r="H9" s="4"/>
      <c r="I9" s="4"/>
    </row>
    <row r="10" spans="1:11" ht="21">
      <c r="A10" s="1"/>
      <c r="C10" s="4"/>
      <c r="D10" s="31" t="s">
        <v>211</v>
      </c>
      <c r="E10" s="31"/>
      <c r="F10" s="31"/>
      <c r="G10" s="31"/>
      <c r="H10" s="31"/>
      <c r="I10" s="32"/>
      <c r="J10" s="32"/>
      <c r="K10" s="33"/>
    </row>
    <row r="11" spans="1:11" ht="18.75">
      <c r="A11" s="1"/>
      <c r="B11" s="16"/>
      <c r="C11" s="16"/>
      <c r="D11" s="16"/>
      <c r="E11" s="16"/>
      <c r="F11" s="17"/>
      <c r="H11" s="30" t="s">
        <v>4</v>
      </c>
      <c r="I11" s="16"/>
    </row>
    <row r="12" spans="1:11">
      <c r="A12" s="1"/>
    </row>
    <row r="13" spans="1:11">
      <c r="A13" s="1"/>
    </row>
    <row r="14" spans="1:11">
      <c r="A14" s="5" t="s">
        <v>5</v>
      </c>
      <c r="B14" s="23" t="s">
        <v>6</v>
      </c>
      <c r="C14" s="23" t="s">
        <v>7</v>
      </c>
      <c r="D14" s="23" t="s">
        <v>8</v>
      </c>
      <c r="E14" s="23" t="s">
        <v>9</v>
      </c>
      <c r="F14" s="23" t="s">
        <v>10</v>
      </c>
      <c r="G14" s="24" t="s">
        <v>11</v>
      </c>
      <c r="H14" s="25" t="s">
        <v>12</v>
      </c>
      <c r="I14" s="24" t="s">
        <v>13</v>
      </c>
      <c r="J14" s="26" t="s">
        <v>14</v>
      </c>
      <c r="K14" s="27" t="s">
        <v>15</v>
      </c>
    </row>
    <row r="15" spans="1:11">
      <c r="A15" s="6">
        <v>1</v>
      </c>
      <c r="B15" s="7" t="s">
        <v>16</v>
      </c>
      <c r="C15" s="7" t="s">
        <v>17</v>
      </c>
      <c r="D15" s="22">
        <f>(15.28+15.34)/2</f>
        <v>15.309999999999999</v>
      </c>
      <c r="E15" s="22">
        <f>(17.73+16)/2</f>
        <v>16.865000000000002</v>
      </c>
      <c r="F15" s="22">
        <f>(D15+E15)/2</f>
        <v>16.087499999999999</v>
      </c>
      <c r="G15" s="22">
        <v>1</v>
      </c>
      <c r="H15" s="22">
        <f t="shared" ref="H15:H46" si="0">F15*G15</f>
        <v>16.087499999999999</v>
      </c>
      <c r="I15" s="22">
        <v>1</v>
      </c>
      <c r="J15" s="22">
        <f t="shared" ref="J15:J78" si="1">H15*I15</f>
        <v>16.087499999999999</v>
      </c>
      <c r="K15" s="28" t="s">
        <v>18</v>
      </c>
    </row>
    <row r="16" spans="1:11">
      <c r="A16" s="6">
        <v>2</v>
      </c>
      <c r="B16" s="7" t="s">
        <v>19</v>
      </c>
      <c r="C16" s="7" t="s">
        <v>20</v>
      </c>
      <c r="D16" s="22"/>
      <c r="E16" s="22"/>
      <c r="F16" s="22">
        <f>(0.4*14.89)+(0.4*16.18)+(0.2*17.99)</f>
        <v>16.026</v>
      </c>
      <c r="G16" s="22">
        <v>1</v>
      </c>
      <c r="H16" s="22">
        <f t="shared" si="0"/>
        <v>16.026</v>
      </c>
      <c r="I16" s="22">
        <v>1</v>
      </c>
      <c r="J16" s="22">
        <f t="shared" si="1"/>
        <v>16.026</v>
      </c>
      <c r="K16" s="28" t="s">
        <v>18</v>
      </c>
    </row>
    <row r="17" spans="1:11">
      <c r="A17" s="6">
        <v>3</v>
      </c>
      <c r="B17" s="7" t="s">
        <v>21</v>
      </c>
      <c r="C17" s="7" t="s">
        <v>22</v>
      </c>
      <c r="D17" s="22"/>
      <c r="E17" s="22"/>
      <c r="F17" s="22">
        <f>(0.4*14.71)+(0.4*16.05)+(0.2*18)</f>
        <v>15.904000000000002</v>
      </c>
      <c r="G17" s="22">
        <v>1</v>
      </c>
      <c r="H17" s="22">
        <f t="shared" si="0"/>
        <v>15.904000000000002</v>
      </c>
      <c r="I17" s="22">
        <v>1</v>
      </c>
      <c r="J17" s="22">
        <f t="shared" si="1"/>
        <v>15.904000000000002</v>
      </c>
      <c r="K17" s="28" t="s">
        <v>18</v>
      </c>
    </row>
    <row r="18" spans="1:11">
      <c r="A18" s="6">
        <v>4</v>
      </c>
      <c r="B18" s="7" t="s">
        <v>23</v>
      </c>
      <c r="C18" s="7" t="s">
        <v>24</v>
      </c>
      <c r="D18" s="22">
        <f>(15.02+13.55)/2</f>
        <v>14.285</v>
      </c>
      <c r="E18" s="22">
        <f>(15.44+19.5)/2</f>
        <v>17.47</v>
      </c>
      <c r="F18" s="22">
        <f>(D18+E18)/2</f>
        <v>15.8775</v>
      </c>
      <c r="G18" s="22">
        <v>1</v>
      </c>
      <c r="H18" s="22">
        <f t="shared" si="0"/>
        <v>15.8775</v>
      </c>
      <c r="I18" s="22">
        <v>1</v>
      </c>
      <c r="J18" s="22">
        <f t="shared" si="1"/>
        <v>15.8775</v>
      </c>
      <c r="K18" s="28" t="s">
        <v>18</v>
      </c>
    </row>
    <row r="19" spans="1:11">
      <c r="A19" s="6">
        <v>5</v>
      </c>
      <c r="B19" s="7" t="s">
        <v>25</v>
      </c>
      <c r="C19" s="7" t="s">
        <v>26</v>
      </c>
      <c r="D19" s="22">
        <f>(13.92+14.75)/2</f>
        <v>14.335000000000001</v>
      </c>
      <c r="E19" s="22">
        <f>(15.41+18.5)/2</f>
        <v>16.954999999999998</v>
      </c>
      <c r="F19" s="22">
        <f>(D19+E19)/2</f>
        <v>15.645</v>
      </c>
      <c r="G19" s="22">
        <v>1</v>
      </c>
      <c r="H19" s="22">
        <f t="shared" si="0"/>
        <v>15.645</v>
      </c>
      <c r="I19" s="22">
        <v>1</v>
      </c>
      <c r="J19" s="22">
        <f t="shared" si="1"/>
        <v>15.645</v>
      </c>
      <c r="K19" s="28" t="s">
        <v>18</v>
      </c>
    </row>
    <row r="20" spans="1:11">
      <c r="A20" s="6">
        <v>6</v>
      </c>
      <c r="B20" s="7" t="s">
        <v>27</v>
      </c>
      <c r="C20" s="7" t="s">
        <v>28</v>
      </c>
      <c r="D20" s="22">
        <f>(14.08+14.63)/2</f>
        <v>14.355</v>
      </c>
      <c r="E20" s="22">
        <f>(13.37+19.5)/2</f>
        <v>16.434999999999999</v>
      </c>
      <c r="F20" s="22">
        <f>(D20+E20)/2</f>
        <v>15.395</v>
      </c>
      <c r="G20" s="22">
        <v>1</v>
      </c>
      <c r="H20" s="22">
        <f t="shared" si="0"/>
        <v>15.395</v>
      </c>
      <c r="I20" s="22">
        <v>1</v>
      </c>
      <c r="J20" s="22">
        <f t="shared" si="1"/>
        <v>15.395</v>
      </c>
      <c r="K20" s="28" t="s">
        <v>18</v>
      </c>
    </row>
    <row r="21" spans="1:11">
      <c r="A21" s="6">
        <v>7</v>
      </c>
      <c r="B21" s="7" t="s">
        <v>29</v>
      </c>
      <c r="C21" s="7" t="s">
        <v>30</v>
      </c>
      <c r="D21" s="22"/>
      <c r="E21" s="22"/>
      <c r="F21" s="22">
        <f>(0.4*13.65)+(0.4*15.61)+(0.2*17.5)</f>
        <v>15.204000000000001</v>
      </c>
      <c r="G21" s="22">
        <v>1</v>
      </c>
      <c r="H21" s="22">
        <f t="shared" si="0"/>
        <v>15.204000000000001</v>
      </c>
      <c r="I21" s="22">
        <v>1</v>
      </c>
      <c r="J21" s="22">
        <f t="shared" si="1"/>
        <v>15.204000000000001</v>
      </c>
      <c r="K21" s="28" t="s">
        <v>18</v>
      </c>
    </row>
    <row r="22" spans="1:11">
      <c r="A22" s="6">
        <v>8</v>
      </c>
      <c r="B22" s="7" t="s">
        <v>31</v>
      </c>
      <c r="C22" s="7" t="s">
        <v>32</v>
      </c>
      <c r="D22" s="22"/>
      <c r="E22" s="22"/>
      <c r="F22" s="22">
        <f>(0.4*13.2)+(0.4*15.1)+(0.2*18)</f>
        <v>14.92</v>
      </c>
      <c r="G22" s="22">
        <v>1</v>
      </c>
      <c r="H22" s="22">
        <f t="shared" si="0"/>
        <v>14.92</v>
      </c>
      <c r="I22" s="22">
        <v>1</v>
      </c>
      <c r="J22" s="22">
        <f t="shared" si="1"/>
        <v>14.92</v>
      </c>
      <c r="K22" s="28" t="s">
        <v>18</v>
      </c>
    </row>
    <row r="23" spans="1:11">
      <c r="A23" s="6">
        <v>9</v>
      </c>
      <c r="B23" s="7" t="s">
        <v>33</v>
      </c>
      <c r="C23" s="7" t="s">
        <v>34</v>
      </c>
      <c r="D23" s="22">
        <f>(12.76+13.46)/2</f>
        <v>13.11</v>
      </c>
      <c r="E23" s="22">
        <f>(15.46+17.95)/2</f>
        <v>16.704999999999998</v>
      </c>
      <c r="F23" s="22">
        <f t="shared" ref="F23:F29" si="2">(D23+E23)/2</f>
        <v>14.907499999999999</v>
      </c>
      <c r="G23" s="22">
        <v>1</v>
      </c>
      <c r="H23" s="22">
        <f t="shared" si="0"/>
        <v>14.907499999999999</v>
      </c>
      <c r="I23" s="22">
        <v>1</v>
      </c>
      <c r="J23" s="22">
        <f t="shared" si="1"/>
        <v>14.907499999999999</v>
      </c>
      <c r="K23" s="28" t="s">
        <v>18</v>
      </c>
    </row>
    <row r="24" spans="1:11">
      <c r="A24" s="6">
        <v>10</v>
      </c>
      <c r="B24" s="7" t="s">
        <v>35</v>
      </c>
      <c r="C24" s="7" t="s">
        <v>36</v>
      </c>
      <c r="D24" s="22">
        <v>13.57</v>
      </c>
      <c r="E24" s="22">
        <v>16.22</v>
      </c>
      <c r="F24" s="22">
        <f t="shared" si="2"/>
        <v>14.895</v>
      </c>
      <c r="G24" s="22">
        <v>1</v>
      </c>
      <c r="H24" s="22">
        <f t="shared" si="0"/>
        <v>14.895</v>
      </c>
      <c r="I24" s="22">
        <v>1</v>
      </c>
      <c r="J24" s="22">
        <f t="shared" si="1"/>
        <v>14.895</v>
      </c>
      <c r="K24" s="28" t="s">
        <v>18</v>
      </c>
    </row>
    <row r="25" spans="1:11">
      <c r="A25" s="8">
        <v>11</v>
      </c>
      <c r="B25" s="7" t="s">
        <v>37</v>
      </c>
      <c r="C25" s="7" t="s">
        <v>38</v>
      </c>
      <c r="D25" s="22">
        <f>(12.65+14.03)/2</f>
        <v>13.34</v>
      </c>
      <c r="E25" s="22">
        <f>(14.82+18)/2</f>
        <v>16.41</v>
      </c>
      <c r="F25" s="22">
        <f t="shared" si="2"/>
        <v>14.875</v>
      </c>
      <c r="G25" s="22">
        <v>1</v>
      </c>
      <c r="H25" s="22">
        <f t="shared" si="0"/>
        <v>14.875</v>
      </c>
      <c r="I25" s="22">
        <v>1</v>
      </c>
      <c r="J25" s="22">
        <f t="shared" si="1"/>
        <v>14.875</v>
      </c>
      <c r="K25" s="28" t="s">
        <v>18</v>
      </c>
    </row>
    <row r="26" spans="1:11">
      <c r="A26" s="6">
        <v>12</v>
      </c>
      <c r="B26" s="7" t="s">
        <v>39</v>
      </c>
      <c r="C26" s="7" t="s">
        <v>40</v>
      </c>
      <c r="D26" s="22">
        <f>(13.08+14.13)/2</f>
        <v>13.605</v>
      </c>
      <c r="E26" s="22">
        <f>(14.46+17.75)/2</f>
        <v>16.105</v>
      </c>
      <c r="F26" s="22">
        <f t="shared" si="2"/>
        <v>14.855</v>
      </c>
      <c r="G26" s="22">
        <v>1</v>
      </c>
      <c r="H26" s="22">
        <f t="shared" si="0"/>
        <v>14.855</v>
      </c>
      <c r="I26" s="22">
        <v>1</v>
      </c>
      <c r="J26" s="22">
        <f t="shared" si="1"/>
        <v>14.855</v>
      </c>
      <c r="K26" s="28" t="s">
        <v>18</v>
      </c>
    </row>
    <row r="27" spans="1:11">
      <c r="A27" s="6">
        <v>13</v>
      </c>
      <c r="B27" s="7" t="s">
        <v>41</v>
      </c>
      <c r="C27" s="7" t="s">
        <v>42</v>
      </c>
      <c r="D27" s="22">
        <v>14.21</v>
      </c>
      <c r="E27" s="22">
        <v>15.3</v>
      </c>
      <c r="F27" s="22">
        <f t="shared" si="2"/>
        <v>14.755000000000001</v>
      </c>
      <c r="G27" s="22">
        <v>1</v>
      </c>
      <c r="H27" s="22">
        <f t="shared" si="0"/>
        <v>14.755000000000001</v>
      </c>
      <c r="I27" s="22">
        <v>1</v>
      </c>
      <c r="J27" s="22">
        <f t="shared" si="1"/>
        <v>14.755000000000001</v>
      </c>
      <c r="K27" s="28" t="s">
        <v>18</v>
      </c>
    </row>
    <row r="28" spans="1:11">
      <c r="A28" s="6">
        <v>14</v>
      </c>
      <c r="B28" s="7" t="s">
        <v>43</v>
      </c>
      <c r="C28" s="7" t="s">
        <v>44</v>
      </c>
      <c r="D28" s="22">
        <v>12.68</v>
      </c>
      <c r="E28" s="22">
        <v>16.57</v>
      </c>
      <c r="F28" s="22">
        <f t="shared" si="2"/>
        <v>14.625</v>
      </c>
      <c r="G28" s="22">
        <v>1</v>
      </c>
      <c r="H28" s="22">
        <f t="shared" si="0"/>
        <v>14.625</v>
      </c>
      <c r="I28" s="22">
        <v>1</v>
      </c>
      <c r="J28" s="22">
        <f t="shared" si="1"/>
        <v>14.625</v>
      </c>
      <c r="K28" s="28" t="s">
        <v>18</v>
      </c>
    </row>
    <row r="29" spans="1:11">
      <c r="A29" s="6">
        <v>15</v>
      </c>
      <c r="B29" s="7" t="s">
        <v>45</v>
      </c>
      <c r="C29" s="7" t="s">
        <v>46</v>
      </c>
      <c r="D29" s="22">
        <v>12.52</v>
      </c>
      <c r="E29" s="22">
        <v>16.5</v>
      </c>
      <c r="F29" s="22">
        <f t="shared" si="2"/>
        <v>14.51</v>
      </c>
      <c r="G29" s="22">
        <v>1</v>
      </c>
      <c r="H29" s="22">
        <f t="shared" si="0"/>
        <v>14.51</v>
      </c>
      <c r="I29" s="22">
        <v>1</v>
      </c>
      <c r="J29" s="22">
        <f t="shared" si="1"/>
        <v>14.51</v>
      </c>
      <c r="K29" s="28" t="s">
        <v>18</v>
      </c>
    </row>
    <row r="30" spans="1:11">
      <c r="A30" s="6">
        <v>16</v>
      </c>
      <c r="B30" s="7" t="s">
        <v>47</v>
      </c>
      <c r="C30" s="37" t="s">
        <v>212</v>
      </c>
      <c r="D30" s="22"/>
      <c r="E30" s="22"/>
      <c r="F30" s="22">
        <f>(0.4*12.99)+(0.4*14.03)+(18.5*0.2)</f>
        <v>14.507999999999999</v>
      </c>
      <c r="G30" s="22">
        <v>1</v>
      </c>
      <c r="H30" s="22">
        <f t="shared" si="0"/>
        <v>14.507999999999999</v>
      </c>
      <c r="I30" s="22">
        <v>1</v>
      </c>
      <c r="J30" s="22">
        <f t="shared" si="1"/>
        <v>14.507999999999999</v>
      </c>
      <c r="K30" s="28" t="s">
        <v>18</v>
      </c>
    </row>
    <row r="31" spans="1:11">
      <c r="A31" s="6">
        <v>17</v>
      </c>
      <c r="B31" s="7" t="s">
        <v>48</v>
      </c>
      <c r="C31" s="7" t="s">
        <v>49</v>
      </c>
      <c r="D31" s="22">
        <f>(12.66+12.7)/2</f>
        <v>12.68</v>
      </c>
      <c r="E31" s="22">
        <f>(15.55+17)/2</f>
        <v>16.274999999999999</v>
      </c>
      <c r="F31" s="22">
        <f t="shared" ref="F31:F37" si="3">(D31+E31)/2</f>
        <v>14.477499999999999</v>
      </c>
      <c r="G31" s="22">
        <v>1</v>
      </c>
      <c r="H31" s="22">
        <f t="shared" si="0"/>
        <v>14.477499999999999</v>
      </c>
      <c r="I31" s="22">
        <v>1</v>
      </c>
      <c r="J31" s="22">
        <f t="shared" si="1"/>
        <v>14.477499999999999</v>
      </c>
      <c r="K31" s="28" t="s">
        <v>18</v>
      </c>
    </row>
    <row r="32" spans="1:11">
      <c r="A32" s="6">
        <v>18</v>
      </c>
      <c r="B32" s="7" t="s">
        <v>50</v>
      </c>
      <c r="C32" s="7" t="s">
        <v>51</v>
      </c>
      <c r="D32" s="22">
        <v>12.87</v>
      </c>
      <c r="E32" s="22">
        <v>15.93</v>
      </c>
      <c r="F32" s="22">
        <f t="shared" si="3"/>
        <v>14.399999999999999</v>
      </c>
      <c r="G32" s="22">
        <v>1</v>
      </c>
      <c r="H32" s="22">
        <f t="shared" si="0"/>
        <v>14.399999999999999</v>
      </c>
      <c r="I32" s="22">
        <v>1</v>
      </c>
      <c r="J32" s="22">
        <f t="shared" si="1"/>
        <v>14.399999999999999</v>
      </c>
      <c r="K32" s="28" t="s">
        <v>18</v>
      </c>
    </row>
    <row r="33" spans="1:11">
      <c r="A33" s="6">
        <v>19</v>
      </c>
      <c r="B33" s="7" t="s">
        <v>52</v>
      </c>
      <c r="C33" s="7" t="s">
        <v>53</v>
      </c>
      <c r="D33" s="22">
        <v>11.86</v>
      </c>
      <c r="E33" s="22">
        <v>16.649999999999999</v>
      </c>
      <c r="F33" s="22">
        <f t="shared" si="3"/>
        <v>14.254999999999999</v>
      </c>
      <c r="G33" s="22">
        <v>1</v>
      </c>
      <c r="H33" s="22">
        <f t="shared" si="0"/>
        <v>14.254999999999999</v>
      </c>
      <c r="I33" s="22">
        <v>1</v>
      </c>
      <c r="J33" s="22">
        <f t="shared" si="1"/>
        <v>14.254999999999999</v>
      </c>
      <c r="K33" s="28" t="s">
        <v>18</v>
      </c>
    </row>
    <row r="34" spans="1:11">
      <c r="A34" s="6">
        <v>20</v>
      </c>
      <c r="B34" s="7" t="s">
        <v>54</v>
      </c>
      <c r="C34" s="7" t="s">
        <v>55</v>
      </c>
      <c r="D34" s="22">
        <f>(12.95+13.38)/2</f>
        <v>13.164999999999999</v>
      </c>
      <c r="E34" s="22">
        <f>(14.12+14.97)/2</f>
        <v>14.545</v>
      </c>
      <c r="F34" s="22">
        <f t="shared" si="3"/>
        <v>13.855</v>
      </c>
      <c r="G34" s="22">
        <v>1</v>
      </c>
      <c r="H34" s="22">
        <f t="shared" si="0"/>
        <v>13.855</v>
      </c>
      <c r="I34" s="22">
        <v>1</v>
      </c>
      <c r="J34" s="22">
        <f t="shared" si="1"/>
        <v>13.855</v>
      </c>
      <c r="K34" s="28" t="s">
        <v>18</v>
      </c>
    </row>
    <row r="35" spans="1:11">
      <c r="A35" s="6">
        <v>21</v>
      </c>
      <c r="B35" s="7" t="s">
        <v>56</v>
      </c>
      <c r="C35" s="7" t="s">
        <v>57</v>
      </c>
      <c r="D35" s="22">
        <v>12.41</v>
      </c>
      <c r="E35" s="22">
        <v>15.21</v>
      </c>
      <c r="F35" s="22">
        <f t="shared" si="3"/>
        <v>13.81</v>
      </c>
      <c r="G35" s="22">
        <v>1</v>
      </c>
      <c r="H35" s="22">
        <f t="shared" si="0"/>
        <v>13.81</v>
      </c>
      <c r="I35" s="22">
        <v>1</v>
      </c>
      <c r="J35" s="22">
        <f t="shared" si="1"/>
        <v>13.81</v>
      </c>
      <c r="K35" s="28" t="s">
        <v>18</v>
      </c>
    </row>
    <row r="36" spans="1:11">
      <c r="A36" s="6">
        <v>22</v>
      </c>
      <c r="B36" s="7" t="s">
        <v>58</v>
      </c>
      <c r="C36" s="7" t="s">
        <v>59</v>
      </c>
      <c r="D36" s="22">
        <v>10.93</v>
      </c>
      <c r="E36" s="22">
        <v>16.68</v>
      </c>
      <c r="F36" s="22">
        <f t="shared" si="3"/>
        <v>13.805</v>
      </c>
      <c r="G36" s="22">
        <v>1</v>
      </c>
      <c r="H36" s="22">
        <f t="shared" si="0"/>
        <v>13.805</v>
      </c>
      <c r="I36" s="22">
        <v>1</v>
      </c>
      <c r="J36" s="22">
        <f t="shared" si="1"/>
        <v>13.805</v>
      </c>
      <c r="K36" s="28" t="s">
        <v>18</v>
      </c>
    </row>
    <row r="37" spans="1:11">
      <c r="A37" s="6">
        <v>23</v>
      </c>
      <c r="B37" s="7" t="s">
        <v>60</v>
      </c>
      <c r="C37" s="7" t="s">
        <v>61</v>
      </c>
      <c r="D37" s="22">
        <f>(14.49+12.47)/2</f>
        <v>13.48</v>
      </c>
      <c r="E37" s="22">
        <f>(13.58+14.16)/2</f>
        <v>13.870000000000001</v>
      </c>
      <c r="F37" s="22">
        <f t="shared" si="3"/>
        <v>13.675000000000001</v>
      </c>
      <c r="G37" s="22">
        <v>1</v>
      </c>
      <c r="H37" s="22">
        <f t="shared" si="0"/>
        <v>13.675000000000001</v>
      </c>
      <c r="I37" s="22">
        <v>1</v>
      </c>
      <c r="J37" s="22">
        <f t="shared" si="1"/>
        <v>13.675000000000001</v>
      </c>
      <c r="K37" s="28" t="s">
        <v>18</v>
      </c>
    </row>
    <row r="38" spans="1:11">
      <c r="A38" s="6">
        <v>24</v>
      </c>
      <c r="B38" s="7" t="s">
        <v>62</v>
      </c>
      <c r="C38" s="7" t="s">
        <v>63</v>
      </c>
      <c r="D38" s="22"/>
      <c r="E38" s="22"/>
      <c r="F38" s="22">
        <f>(0.4*11.48)+(0.4*11.73)+(0.2*17)</f>
        <v>12.684000000000001</v>
      </c>
      <c r="G38" s="22">
        <v>1</v>
      </c>
      <c r="H38" s="22">
        <f t="shared" si="0"/>
        <v>12.684000000000001</v>
      </c>
      <c r="I38" s="22">
        <v>1</v>
      </c>
      <c r="J38" s="22">
        <f t="shared" si="1"/>
        <v>12.684000000000001</v>
      </c>
      <c r="K38" s="28" t="s">
        <v>18</v>
      </c>
    </row>
    <row r="39" spans="1:11">
      <c r="A39" s="6">
        <v>25</v>
      </c>
      <c r="B39" s="7" t="s">
        <v>64</v>
      </c>
      <c r="C39" s="7" t="s">
        <v>46</v>
      </c>
      <c r="D39" s="22">
        <v>14.88</v>
      </c>
      <c r="E39" s="22">
        <v>16.45</v>
      </c>
      <c r="F39" s="22">
        <f>(D39+E39)/2</f>
        <v>15.664999999999999</v>
      </c>
      <c r="G39" s="22">
        <v>0.8</v>
      </c>
      <c r="H39" s="22">
        <f t="shared" si="0"/>
        <v>12.532</v>
      </c>
      <c r="I39" s="22">
        <v>1</v>
      </c>
      <c r="J39" s="22">
        <f t="shared" si="1"/>
        <v>12.532</v>
      </c>
      <c r="K39" s="28" t="s">
        <v>18</v>
      </c>
    </row>
    <row r="40" spans="1:11">
      <c r="A40" s="6">
        <v>26</v>
      </c>
      <c r="B40" s="7" t="s">
        <v>65</v>
      </c>
      <c r="C40" s="7" t="s">
        <v>66</v>
      </c>
      <c r="D40" s="22"/>
      <c r="E40" s="22"/>
      <c r="F40" s="22">
        <f>(0.4*10.49)+(0.4*11.58)+(0.2*17.75)</f>
        <v>12.378000000000002</v>
      </c>
      <c r="G40" s="22">
        <v>1</v>
      </c>
      <c r="H40" s="22">
        <f t="shared" si="0"/>
        <v>12.378000000000002</v>
      </c>
      <c r="I40" s="22">
        <v>1</v>
      </c>
      <c r="J40" s="22">
        <f t="shared" si="1"/>
        <v>12.378000000000002</v>
      </c>
      <c r="K40" s="28" t="s">
        <v>18</v>
      </c>
    </row>
    <row r="41" spans="1:11">
      <c r="A41" s="6">
        <v>27</v>
      </c>
      <c r="B41" s="7" t="s">
        <v>67</v>
      </c>
      <c r="C41" s="7" t="s">
        <v>68</v>
      </c>
      <c r="D41" s="22">
        <f>(14.65+14.17)/2</f>
        <v>14.41</v>
      </c>
      <c r="E41" s="22">
        <f>(15.37+17.5)/2</f>
        <v>16.434999999999999</v>
      </c>
      <c r="F41" s="22">
        <f>(D41+E41)/2</f>
        <v>15.422499999999999</v>
      </c>
      <c r="G41" s="22">
        <v>0.8</v>
      </c>
      <c r="H41" s="22">
        <f t="shared" si="0"/>
        <v>12.338000000000001</v>
      </c>
      <c r="I41" s="22">
        <v>1</v>
      </c>
      <c r="J41" s="22">
        <f t="shared" si="1"/>
        <v>12.338000000000001</v>
      </c>
      <c r="K41" s="28" t="s">
        <v>18</v>
      </c>
    </row>
    <row r="42" spans="1:11">
      <c r="A42" s="6">
        <v>28</v>
      </c>
      <c r="B42" s="7" t="s">
        <v>69</v>
      </c>
      <c r="C42" s="7" t="s">
        <v>70</v>
      </c>
      <c r="D42" s="22">
        <f>(12.09+10.41)/2</f>
        <v>11.25</v>
      </c>
      <c r="E42" s="22">
        <f>(10.38+15.75)/2</f>
        <v>13.065000000000001</v>
      </c>
      <c r="F42" s="22">
        <f>(D42+E42)/2</f>
        <v>12.157500000000001</v>
      </c>
      <c r="G42" s="22">
        <v>1</v>
      </c>
      <c r="H42" s="22">
        <f t="shared" si="0"/>
        <v>12.157500000000001</v>
      </c>
      <c r="I42" s="22">
        <v>1</v>
      </c>
      <c r="J42" s="22">
        <f t="shared" si="1"/>
        <v>12.157500000000001</v>
      </c>
      <c r="K42" s="28" t="s">
        <v>18</v>
      </c>
    </row>
    <row r="43" spans="1:11">
      <c r="A43" s="6">
        <v>29</v>
      </c>
      <c r="B43" s="7" t="s">
        <v>71</v>
      </c>
      <c r="C43" s="7" t="s">
        <v>72</v>
      </c>
      <c r="D43" s="22"/>
      <c r="E43" s="22"/>
      <c r="F43" s="22">
        <f>(0.4*12.76)+(0.4*15.22)+(0.2*18.5)</f>
        <v>14.891999999999999</v>
      </c>
      <c r="G43" s="22">
        <v>0.8</v>
      </c>
      <c r="H43" s="22">
        <f t="shared" si="0"/>
        <v>11.913600000000001</v>
      </c>
      <c r="I43" s="22">
        <v>1</v>
      </c>
      <c r="J43" s="22">
        <f t="shared" si="1"/>
        <v>11.913600000000001</v>
      </c>
      <c r="K43" s="28" t="s">
        <v>18</v>
      </c>
    </row>
    <row r="44" spans="1:11">
      <c r="A44" s="6">
        <v>30</v>
      </c>
      <c r="B44" s="7" t="s">
        <v>73</v>
      </c>
      <c r="C44" s="7" t="s">
        <v>74</v>
      </c>
      <c r="D44" s="22">
        <f>(12.18+13.36)/2</f>
        <v>12.77</v>
      </c>
      <c r="E44" s="22">
        <f>(14.96+18)/2</f>
        <v>16.48</v>
      </c>
      <c r="F44" s="22">
        <f>(D44+E44)/2</f>
        <v>14.625</v>
      </c>
      <c r="G44" s="22">
        <v>0.8</v>
      </c>
      <c r="H44" s="22">
        <f t="shared" si="0"/>
        <v>11.700000000000001</v>
      </c>
      <c r="I44" s="22">
        <v>1</v>
      </c>
      <c r="J44" s="22">
        <f t="shared" si="1"/>
        <v>11.700000000000001</v>
      </c>
      <c r="K44" s="28" t="s">
        <v>18</v>
      </c>
    </row>
    <row r="45" spans="1:11">
      <c r="A45" s="6">
        <v>31</v>
      </c>
      <c r="B45" s="7" t="s">
        <v>75</v>
      </c>
      <c r="C45" s="7" t="s">
        <v>76</v>
      </c>
      <c r="D45" s="22">
        <f>(14+13.05)/2</f>
        <v>13.525</v>
      </c>
      <c r="E45" s="22">
        <f>(13.32+18)/2</f>
        <v>15.66</v>
      </c>
      <c r="F45" s="22">
        <f>(D45+E45)/2</f>
        <v>14.592500000000001</v>
      </c>
      <c r="G45" s="22">
        <v>0.8</v>
      </c>
      <c r="H45" s="22">
        <f t="shared" si="0"/>
        <v>11.674000000000001</v>
      </c>
      <c r="I45" s="22">
        <v>1</v>
      </c>
      <c r="J45" s="22">
        <f t="shared" si="1"/>
        <v>11.674000000000001</v>
      </c>
      <c r="K45" s="28" t="s">
        <v>18</v>
      </c>
    </row>
    <row r="46" spans="1:11">
      <c r="A46" s="6">
        <v>32</v>
      </c>
      <c r="B46" s="7" t="s">
        <v>77</v>
      </c>
      <c r="C46" s="7" t="s">
        <v>78</v>
      </c>
      <c r="D46" s="22">
        <f>(12.18+13.59)/2</f>
        <v>12.885</v>
      </c>
      <c r="E46" s="22">
        <f>(15.05+17.5)/2</f>
        <v>16.274999999999999</v>
      </c>
      <c r="F46" s="22">
        <f>(D46+E46)/2</f>
        <v>14.579999999999998</v>
      </c>
      <c r="G46" s="22">
        <v>0.8</v>
      </c>
      <c r="H46" s="22">
        <f t="shared" si="0"/>
        <v>11.664</v>
      </c>
      <c r="I46" s="22">
        <v>1</v>
      </c>
      <c r="J46" s="22">
        <f t="shared" si="1"/>
        <v>11.664</v>
      </c>
      <c r="K46" s="28" t="s">
        <v>18</v>
      </c>
    </row>
    <row r="47" spans="1:11">
      <c r="A47" s="6">
        <v>33</v>
      </c>
      <c r="B47" s="7" t="s">
        <v>79</v>
      </c>
      <c r="C47" s="7" t="s">
        <v>80</v>
      </c>
      <c r="D47" s="22">
        <f>(13.16+11.82)/2</f>
        <v>12.49</v>
      </c>
      <c r="E47" s="22">
        <f>(15.43+17)/2</f>
        <v>16.215</v>
      </c>
      <c r="F47" s="22">
        <f>(D47+E47)/2</f>
        <v>14.352499999999999</v>
      </c>
      <c r="G47" s="22">
        <v>0.8</v>
      </c>
      <c r="H47" s="22">
        <f t="shared" ref="H47:H78" si="4">F47*G47</f>
        <v>11.481999999999999</v>
      </c>
      <c r="I47" s="22">
        <v>1</v>
      </c>
      <c r="J47" s="22">
        <f t="shared" si="1"/>
        <v>11.481999999999999</v>
      </c>
      <c r="K47" s="28" t="s">
        <v>18</v>
      </c>
    </row>
    <row r="48" spans="1:11">
      <c r="A48" s="6">
        <v>34</v>
      </c>
      <c r="B48" s="7" t="s">
        <v>81</v>
      </c>
      <c r="C48" s="7" t="s">
        <v>82</v>
      </c>
      <c r="D48" s="22">
        <f>(12.95+13.32)/2</f>
        <v>13.135</v>
      </c>
      <c r="E48" s="22">
        <f>(13.04+17.75)/2</f>
        <v>15.395</v>
      </c>
      <c r="F48" s="22">
        <f>(D48+E48)/2</f>
        <v>14.265000000000001</v>
      </c>
      <c r="G48" s="22">
        <v>0.8</v>
      </c>
      <c r="H48" s="22">
        <f t="shared" si="4"/>
        <v>11.412000000000001</v>
      </c>
      <c r="I48" s="22">
        <v>1</v>
      </c>
      <c r="J48" s="22">
        <f t="shared" si="1"/>
        <v>11.412000000000001</v>
      </c>
      <c r="K48" s="28" t="s">
        <v>18</v>
      </c>
    </row>
    <row r="49" spans="1:11">
      <c r="A49" s="6">
        <v>35</v>
      </c>
      <c r="B49" s="7" t="s">
        <v>83</v>
      </c>
      <c r="C49" s="7" t="s">
        <v>84</v>
      </c>
      <c r="D49" s="22"/>
      <c r="E49" s="22"/>
      <c r="F49" s="22">
        <f>(0.4*13.05)+(0.4*14.05)+(0.2*17)</f>
        <v>14.240000000000002</v>
      </c>
      <c r="G49" s="22">
        <v>0.8</v>
      </c>
      <c r="H49" s="22">
        <f t="shared" si="4"/>
        <v>11.392000000000003</v>
      </c>
      <c r="I49" s="22">
        <v>1</v>
      </c>
      <c r="J49" s="22">
        <f t="shared" si="1"/>
        <v>11.392000000000003</v>
      </c>
      <c r="K49" s="28" t="s">
        <v>18</v>
      </c>
    </row>
    <row r="50" spans="1:11">
      <c r="A50" s="6">
        <v>36</v>
      </c>
      <c r="B50" s="7" t="s">
        <v>85</v>
      </c>
      <c r="C50" s="7" t="s">
        <v>86</v>
      </c>
      <c r="D50" s="22"/>
      <c r="E50" s="22"/>
      <c r="F50" s="22">
        <f>(14.1*0.4)+(0.4*12.91)+(17*0.2)</f>
        <v>14.204000000000002</v>
      </c>
      <c r="G50" s="22">
        <v>0.8</v>
      </c>
      <c r="H50" s="22">
        <f t="shared" si="4"/>
        <v>11.363200000000003</v>
      </c>
      <c r="I50" s="22">
        <v>1</v>
      </c>
      <c r="J50" s="22">
        <f t="shared" si="1"/>
        <v>11.363200000000003</v>
      </c>
      <c r="K50" s="28" t="s">
        <v>18</v>
      </c>
    </row>
    <row r="51" spans="1:11">
      <c r="A51" s="6">
        <v>37</v>
      </c>
      <c r="B51" s="7" t="s">
        <v>87</v>
      </c>
      <c r="C51" s="7" t="s">
        <v>63</v>
      </c>
      <c r="D51" s="22"/>
      <c r="E51" s="22"/>
      <c r="F51" s="22">
        <f>(0.4*11.99)+(0.4*14.45)+(0.2*18)</f>
        <v>14.176</v>
      </c>
      <c r="G51" s="22">
        <v>0.8</v>
      </c>
      <c r="H51" s="22">
        <f t="shared" si="4"/>
        <v>11.340800000000002</v>
      </c>
      <c r="I51" s="22">
        <v>1</v>
      </c>
      <c r="J51" s="22">
        <f t="shared" si="1"/>
        <v>11.340800000000002</v>
      </c>
      <c r="K51" s="28" t="s">
        <v>18</v>
      </c>
    </row>
    <row r="52" spans="1:11">
      <c r="A52" s="6">
        <v>38</v>
      </c>
      <c r="B52" s="7" t="s">
        <v>88</v>
      </c>
      <c r="C52" s="7" t="s">
        <v>89</v>
      </c>
      <c r="D52" s="22">
        <f>(12.69+13.08)/2</f>
        <v>12.885</v>
      </c>
      <c r="E52" s="22">
        <f>(12.18+18.75)/2</f>
        <v>15.465</v>
      </c>
      <c r="F52" s="22">
        <f t="shared" ref="F52:F65" si="5">(D52+E52)/2</f>
        <v>14.175000000000001</v>
      </c>
      <c r="G52" s="22">
        <v>0.8</v>
      </c>
      <c r="H52" s="22">
        <f t="shared" si="4"/>
        <v>11.340000000000002</v>
      </c>
      <c r="I52" s="22">
        <v>1</v>
      </c>
      <c r="J52" s="22">
        <f t="shared" si="1"/>
        <v>11.340000000000002</v>
      </c>
      <c r="K52" s="28" t="s">
        <v>18</v>
      </c>
    </row>
    <row r="53" spans="1:11">
      <c r="A53" s="6">
        <v>39</v>
      </c>
      <c r="B53" s="7" t="s">
        <v>90</v>
      </c>
      <c r="C53" s="7" t="s">
        <v>80</v>
      </c>
      <c r="D53" s="22">
        <f>(10.45+13.39)/2</f>
        <v>11.92</v>
      </c>
      <c r="E53" s="22">
        <f>(14.17+18)/2</f>
        <v>16.085000000000001</v>
      </c>
      <c r="F53" s="22">
        <f t="shared" si="5"/>
        <v>14.002500000000001</v>
      </c>
      <c r="G53" s="22">
        <v>0.8</v>
      </c>
      <c r="H53" s="22">
        <f t="shared" si="4"/>
        <v>11.202000000000002</v>
      </c>
      <c r="I53" s="22">
        <v>1</v>
      </c>
      <c r="J53" s="22">
        <f t="shared" si="1"/>
        <v>11.202000000000002</v>
      </c>
      <c r="K53" s="28" t="s">
        <v>18</v>
      </c>
    </row>
    <row r="54" spans="1:11">
      <c r="A54" s="6">
        <v>40</v>
      </c>
      <c r="B54" s="7" t="s">
        <v>91</v>
      </c>
      <c r="C54" s="7" t="s">
        <v>92</v>
      </c>
      <c r="D54" s="22">
        <f>(12.94+12.01)/2</f>
        <v>12.475</v>
      </c>
      <c r="E54" s="22">
        <f>(13.53+17.5)/2</f>
        <v>15.515000000000001</v>
      </c>
      <c r="F54" s="22">
        <f t="shared" si="5"/>
        <v>13.995000000000001</v>
      </c>
      <c r="G54" s="22">
        <v>0.8</v>
      </c>
      <c r="H54" s="22">
        <f t="shared" si="4"/>
        <v>11.196000000000002</v>
      </c>
      <c r="I54" s="22">
        <v>1</v>
      </c>
      <c r="J54" s="22">
        <f t="shared" si="1"/>
        <v>11.196000000000002</v>
      </c>
      <c r="K54" s="28" t="s">
        <v>18</v>
      </c>
    </row>
    <row r="55" spans="1:11">
      <c r="A55" s="6">
        <v>41</v>
      </c>
      <c r="B55" s="7" t="s">
        <v>93</v>
      </c>
      <c r="C55" s="7" t="s">
        <v>94</v>
      </c>
      <c r="D55" s="22">
        <f>(12+13.54)/2</f>
        <v>12.77</v>
      </c>
      <c r="E55" s="22">
        <f>(12.46+17.95)/2</f>
        <v>15.205</v>
      </c>
      <c r="F55" s="22">
        <f t="shared" si="5"/>
        <v>13.987500000000001</v>
      </c>
      <c r="G55" s="22">
        <v>0.8</v>
      </c>
      <c r="H55" s="22">
        <f t="shared" si="4"/>
        <v>11.190000000000001</v>
      </c>
      <c r="I55" s="22">
        <v>1</v>
      </c>
      <c r="J55" s="22">
        <f t="shared" si="1"/>
        <v>11.190000000000001</v>
      </c>
      <c r="K55" s="28" t="s">
        <v>18</v>
      </c>
    </row>
    <row r="56" spans="1:11">
      <c r="A56" s="6">
        <v>42</v>
      </c>
      <c r="B56" s="7" t="s">
        <v>95</v>
      </c>
      <c r="C56" s="7" t="s">
        <v>96</v>
      </c>
      <c r="D56" s="22">
        <f>(12.3+12.47)/2</f>
        <v>12.385000000000002</v>
      </c>
      <c r="E56" s="22">
        <f>(12.23+18.75)/2</f>
        <v>15.49</v>
      </c>
      <c r="F56" s="22">
        <f t="shared" si="5"/>
        <v>13.9375</v>
      </c>
      <c r="G56" s="22">
        <v>0.8</v>
      </c>
      <c r="H56" s="22">
        <f t="shared" si="4"/>
        <v>11.15</v>
      </c>
      <c r="I56" s="22">
        <v>1</v>
      </c>
      <c r="J56" s="22">
        <f t="shared" si="1"/>
        <v>11.15</v>
      </c>
      <c r="K56" s="28" t="s">
        <v>18</v>
      </c>
    </row>
    <row r="57" spans="1:11">
      <c r="A57" s="6">
        <v>43</v>
      </c>
      <c r="B57" s="7" t="s">
        <v>97</v>
      </c>
      <c r="C57" s="7" t="s">
        <v>98</v>
      </c>
      <c r="D57" s="22">
        <f>(10.59+12.31)/2</f>
        <v>11.45</v>
      </c>
      <c r="E57" s="22">
        <f>(14.74+18)/2</f>
        <v>16.37</v>
      </c>
      <c r="F57" s="22">
        <f t="shared" si="5"/>
        <v>13.91</v>
      </c>
      <c r="G57" s="22">
        <v>0.8</v>
      </c>
      <c r="H57" s="22">
        <f t="shared" si="4"/>
        <v>11.128</v>
      </c>
      <c r="I57" s="22">
        <v>1</v>
      </c>
      <c r="J57" s="22">
        <f t="shared" si="1"/>
        <v>11.128</v>
      </c>
      <c r="K57" s="28" t="s">
        <v>18</v>
      </c>
    </row>
    <row r="58" spans="1:11">
      <c r="A58" s="6">
        <v>44</v>
      </c>
      <c r="B58" s="7" t="s">
        <v>99</v>
      </c>
      <c r="C58" s="7" t="s">
        <v>100</v>
      </c>
      <c r="D58" s="22">
        <f>(10.73+12.52)/2</f>
        <v>11.625</v>
      </c>
      <c r="E58" s="22">
        <f>(13.53+18.75)/2</f>
        <v>16.14</v>
      </c>
      <c r="F58" s="22">
        <f t="shared" si="5"/>
        <v>13.8825</v>
      </c>
      <c r="G58" s="22">
        <v>0.8</v>
      </c>
      <c r="H58" s="22">
        <f t="shared" si="4"/>
        <v>11.106000000000002</v>
      </c>
      <c r="I58" s="22">
        <v>1</v>
      </c>
      <c r="J58" s="22">
        <f t="shared" si="1"/>
        <v>11.106000000000002</v>
      </c>
      <c r="K58" s="28" t="s">
        <v>18</v>
      </c>
    </row>
    <row r="59" spans="1:11">
      <c r="A59" s="6">
        <v>45</v>
      </c>
      <c r="B59" s="7" t="s">
        <v>101</v>
      </c>
      <c r="C59" s="7" t="s">
        <v>46</v>
      </c>
      <c r="D59" s="22">
        <f>(10.48+12.08)/2</f>
        <v>11.280000000000001</v>
      </c>
      <c r="E59" s="22">
        <f>(15.2+17.75)/2</f>
        <v>16.475000000000001</v>
      </c>
      <c r="F59" s="22">
        <f t="shared" si="5"/>
        <v>13.877500000000001</v>
      </c>
      <c r="G59" s="22">
        <v>0.8</v>
      </c>
      <c r="H59" s="22">
        <f t="shared" si="4"/>
        <v>11.102000000000002</v>
      </c>
      <c r="I59" s="22">
        <v>1</v>
      </c>
      <c r="J59" s="22">
        <f t="shared" si="1"/>
        <v>11.102000000000002</v>
      </c>
      <c r="K59" s="28" t="s">
        <v>18</v>
      </c>
    </row>
    <row r="60" spans="1:11">
      <c r="A60" s="6">
        <v>46</v>
      </c>
      <c r="B60" s="7" t="s">
        <v>102</v>
      </c>
      <c r="C60" s="7" t="s">
        <v>103</v>
      </c>
      <c r="D60" s="22">
        <f>(11.46+12.2)/2</f>
        <v>11.83</v>
      </c>
      <c r="E60" s="22">
        <f>(13.65+18)/2</f>
        <v>15.824999999999999</v>
      </c>
      <c r="F60" s="22">
        <f t="shared" si="5"/>
        <v>13.827500000000001</v>
      </c>
      <c r="G60" s="22">
        <v>0.8</v>
      </c>
      <c r="H60" s="22">
        <f t="shared" si="4"/>
        <v>11.062000000000001</v>
      </c>
      <c r="I60" s="22">
        <v>1</v>
      </c>
      <c r="J60" s="22">
        <f t="shared" si="1"/>
        <v>11.062000000000001</v>
      </c>
      <c r="K60" s="28" t="s">
        <v>18</v>
      </c>
    </row>
    <row r="61" spans="1:11">
      <c r="A61" s="6">
        <v>47</v>
      </c>
      <c r="B61" s="7" t="s">
        <v>104</v>
      </c>
      <c r="C61" s="7" t="s">
        <v>105</v>
      </c>
      <c r="D61" s="22">
        <f>(11.45+12.1)/2</f>
        <v>11.774999999999999</v>
      </c>
      <c r="E61" s="22">
        <f>(13.75+18)/2</f>
        <v>15.875</v>
      </c>
      <c r="F61" s="22">
        <f t="shared" si="5"/>
        <v>13.824999999999999</v>
      </c>
      <c r="G61" s="22">
        <v>0.8</v>
      </c>
      <c r="H61" s="22">
        <f t="shared" si="4"/>
        <v>11.06</v>
      </c>
      <c r="I61" s="22">
        <v>1</v>
      </c>
      <c r="J61" s="22">
        <f t="shared" si="1"/>
        <v>11.06</v>
      </c>
      <c r="K61" s="28" t="s">
        <v>18</v>
      </c>
    </row>
    <row r="62" spans="1:11">
      <c r="A62" s="6">
        <v>48</v>
      </c>
      <c r="B62" s="7" t="s">
        <v>106</v>
      </c>
      <c r="C62" s="7" t="s">
        <v>107</v>
      </c>
      <c r="D62" s="22">
        <f>(11.07+11.57)/2</f>
        <v>11.32</v>
      </c>
      <c r="E62" s="22">
        <f>(13.96+18.5)/2</f>
        <v>16.23</v>
      </c>
      <c r="F62" s="22">
        <f t="shared" si="5"/>
        <v>13.775</v>
      </c>
      <c r="G62" s="22">
        <v>0.8</v>
      </c>
      <c r="H62" s="22">
        <f t="shared" si="4"/>
        <v>11.020000000000001</v>
      </c>
      <c r="I62" s="22">
        <v>1</v>
      </c>
      <c r="J62" s="22">
        <f t="shared" si="1"/>
        <v>11.020000000000001</v>
      </c>
      <c r="K62" s="28" t="s">
        <v>18</v>
      </c>
    </row>
    <row r="63" spans="1:11">
      <c r="A63" s="6">
        <v>49</v>
      </c>
      <c r="B63" s="7" t="s">
        <v>108</v>
      </c>
      <c r="C63" s="7" t="s">
        <v>109</v>
      </c>
      <c r="D63" s="22">
        <v>15.7</v>
      </c>
      <c r="E63" s="22">
        <v>15.74</v>
      </c>
      <c r="F63" s="22">
        <f t="shared" si="5"/>
        <v>15.719999999999999</v>
      </c>
      <c r="G63" s="22">
        <v>0.7</v>
      </c>
      <c r="H63" s="22">
        <f t="shared" si="4"/>
        <v>11.003999999999998</v>
      </c>
      <c r="I63" s="22">
        <v>1</v>
      </c>
      <c r="J63" s="22">
        <f t="shared" si="1"/>
        <v>11.003999999999998</v>
      </c>
      <c r="K63" s="28" t="s">
        <v>18</v>
      </c>
    </row>
    <row r="64" spans="1:11">
      <c r="A64" s="6">
        <v>50</v>
      </c>
      <c r="B64" s="7" t="s">
        <v>110</v>
      </c>
      <c r="C64" s="7" t="s">
        <v>26</v>
      </c>
      <c r="D64" s="22">
        <v>12.45</v>
      </c>
      <c r="E64" s="22">
        <f>(11.83+18)/2</f>
        <v>14.914999999999999</v>
      </c>
      <c r="F64" s="22">
        <f t="shared" si="5"/>
        <v>13.682499999999999</v>
      </c>
      <c r="G64" s="22">
        <v>0.8</v>
      </c>
      <c r="H64" s="22">
        <f t="shared" si="4"/>
        <v>10.946</v>
      </c>
      <c r="I64" s="22">
        <v>1</v>
      </c>
      <c r="J64" s="22">
        <f t="shared" si="1"/>
        <v>10.946</v>
      </c>
      <c r="K64" s="28" t="s">
        <v>18</v>
      </c>
    </row>
    <row r="65" spans="1:11">
      <c r="A65" s="6">
        <v>51</v>
      </c>
      <c r="B65" s="7" t="s">
        <v>111</v>
      </c>
      <c r="C65" s="7" t="s">
        <v>112</v>
      </c>
      <c r="D65" s="22">
        <f>(11.59+12.57)/2</f>
        <v>12.08</v>
      </c>
      <c r="E65" s="22">
        <f>(12.26+17.95)/2</f>
        <v>15.105</v>
      </c>
      <c r="F65" s="22">
        <f t="shared" si="5"/>
        <v>13.592500000000001</v>
      </c>
      <c r="G65" s="22">
        <v>0.8</v>
      </c>
      <c r="H65" s="22">
        <f t="shared" si="4"/>
        <v>10.874000000000002</v>
      </c>
      <c r="I65" s="22">
        <v>1</v>
      </c>
      <c r="J65" s="22">
        <f t="shared" si="1"/>
        <v>10.874000000000002</v>
      </c>
      <c r="K65" s="28" t="s">
        <v>18</v>
      </c>
    </row>
    <row r="66" spans="1:11">
      <c r="A66" s="6">
        <v>52</v>
      </c>
      <c r="B66" s="7" t="s">
        <v>113</v>
      </c>
      <c r="C66" s="7" t="s">
        <v>114</v>
      </c>
      <c r="D66" s="22"/>
      <c r="E66" s="22"/>
      <c r="F66" s="22">
        <f>(0.4*12.38)+(0.4*13.05)+(0.2*17)</f>
        <v>13.572000000000001</v>
      </c>
      <c r="G66" s="22">
        <v>0.8</v>
      </c>
      <c r="H66" s="22">
        <f t="shared" si="4"/>
        <v>10.857600000000001</v>
      </c>
      <c r="I66" s="22">
        <v>1</v>
      </c>
      <c r="J66" s="22">
        <f t="shared" si="1"/>
        <v>10.857600000000001</v>
      </c>
      <c r="K66" s="28" t="s">
        <v>18</v>
      </c>
    </row>
    <row r="67" spans="1:11">
      <c r="A67" s="6">
        <v>53</v>
      </c>
      <c r="B67" s="7" t="s">
        <v>115</v>
      </c>
      <c r="C67" s="7" t="s">
        <v>116</v>
      </c>
      <c r="D67" s="22"/>
      <c r="E67" s="22"/>
      <c r="F67" s="22">
        <f>(11.6*0.4)+(0.4*13.48)+(0.2*17.5)</f>
        <v>13.532</v>
      </c>
      <c r="G67" s="22">
        <v>0.8</v>
      </c>
      <c r="H67" s="22">
        <f t="shared" si="4"/>
        <v>10.825600000000001</v>
      </c>
      <c r="I67" s="22">
        <v>1</v>
      </c>
      <c r="J67" s="22">
        <f t="shared" si="1"/>
        <v>10.825600000000001</v>
      </c>
      <c r="K67" s="28" t="s">
        <v>18</v>
      </c>
    </row>
    <row r="68" spans="1:11">
      <c r="A68" s="9">
        <v>54</v>
      </c>
      <c r="B68" s="7" t="s">
        <v>117</v>
      </c>
      <c r="C68" s="7" t="s">
        <v>118</v>
      </c>
      <c r="D68" s="22"/>
      <c r="E68" s="22"/>
      <c r="F68" s="22">
        <f>(11.27*0.4)+(13.1*0.4)+(18.33*0.2)</f>
        <v>13.414000000000001</v>
      </c>
      <c r="G68" s="22">
        <v>0.8</v>
      </c>
      <c r="H68" s="22">
        <f t="shared" si="4"/>
        <v>10.731200000000001</v>
      </c>
      <c r="I68" s="22">
        <v>1</v>
      </c>
      <c r="J68" s="22">
        <f t="shared" si="1"/>
        <v>10.731200000000001</v>
      </c>
      <c r="K68" s="28" t="s">
        <v>18</v>
      </c>
    </row>
    <row r="69" spans="1:11">
      <c r="A69" s="9">
        <v>55</v>
      </c>
      <c r="B69" s="7" t="s">
        <v>119</v>
      </c>
      <c r="C69" s="7" t="s">
        <v>120</v>
      </c>
      <c r="D69" s="22">
        <v>10.97</v>
      </c>
      <c r="E69" s="22">
        <v>15.27</v>
      </c>
      <c r="F69" s="22">
        <f>(D69+E69)/2</f>
        <v>13.120000000000001</v>
      </c>
      <c r="G69" s="22">
        <v>0.8</v>
      </c>
      <c r="H69" s="22">
        <f t="shared" si="4"/>
        <v>10.496000000000002</v>
      </c>
      <c r="I69" s="22">
        <v>1</v>
      </c>
      <c r="J69" s="22">
        <f t="shared" si="1"/>
        <v>10.496000000000002</v>
      </c>
      <c r="K69" s="28" t="s">
        <v>18</v>
      </c>
    </row>
    <row r="70" spans="1:11">
      <c r="A70" s="9">
        <v>56</v>
      </c>
      <c r="B70" s="7" t="s">
        <v>121</v>
      </c>
      <c r="C70" s="7" t="s">
        <v>122</v>
      </c>
      <c r="D70" s="22"/>
      <c r="E70" s="22"/>
      <c r="F70" s="22">
        <f>(0.4*10.29)+(0.4*12.85)+(0.2*17.5)</f>
        <v>12.756</v>
      </c>
      <c r="G70" s="22">
        <v>0.8</v>
      </c>
      <c r="H70" s="22">
        <f t="shared" si="4"/>
        <v>10.204800000000001</v>
      </c>
      <c r="I70" s="22">
        <v>1</v>
      </c>
      <c r="J70" s="22">
        <f t="shared" si="1"/>
        <v>10.204800000000001</v>
      </c>
      <c r="K70" s="28" t="s">
        <v>18</v>
      </c>
    </row>
    <row r="71" spans="1:11">
      <c r="A71" s="9">
        <v>57</v>
      </c>
      <c r="B71" s="7" t="s">
        <v>123</v>
      </c>
      <c r="C71" s="7" t="s">
        <v>124</v>
      </c>
      <c r="D71" s="22">
        <f>(12.29+13.94)/2</f>
        <v>13.114999999999998</v>
      </c>
      <c r="E71" s="22">
        <f>(13.72+17)/2</f>
        <v>15.36</v>
      </c>
      <c r="F71" s="22">
        <f>(D71+E71)/2</f>
        <v>14.237499999999999</v>
      </c>
      <c r="G71" s="22">
        <v>0.7</v>
      </c>
      <c r="H71" s="22">
        <f t="shared" si="4"/>
        <v>9.9662499999999987</v>
      </c>
      <c r="I71" s="22">
        <v>1</v>
      </c>
      <c r="J71" s="22">
        <f t="shared" si="1"/>
        <v>9.9662499999999987</v>
      </c>
      <c r="K71" s="28" t="s">
        <v>18</v>
      </c>
    </row>
    <row r="72" spans="1:11">
      <c r="A72" s="9">
        <v>58</v>
      </c>
      <c r="B72" s="7" t="s">
        <v>33</v>
      </c>
      <c r="C72" s="7" t="s">
        <v>125</v>
      </c>
      <c r="D72" s="22"/>
      <c r="E72" s="22"/>
      <c r="F72" s="22">
        <f>(0.4*10.39)+(0.4*10.82)+(0.2*18.5)</f>
        <v>12.184000000000001</v>
      </c>
      <c r="G72" s="22">
        <v>0.8</v>
      </c>
      <c r="H72" s="22">
        <f t="shared" si="4"/>
        <v>9.7472000000000012</v>
      </c>
      <c r="I72" s="22">
        <v>1</v>
      </c>
      <c r="J72" s="22">
        <f t="shared" si="1"/>
        <v>9.7472000000000012</v>
      </c>
      <c r="K72" s="28" t="s">
        <v>18</v>
      </c>
    </row>
    <row r="73" spans="1:11">
      <c r="A73" s="9">
        <v>59</v>
      </c>
      <c r="B73" s="7" t="s">
        <v>126</v>
      </c>
      <c r="C73" s="7" t="s">
        <v>127</v>
      </c>
      <c r="D73" s="22">
        <f>(11.45+10.46)/2</f>
        <v>10.955</v>
      </c>
      <c r="E73" s="22">
        <f>(11.13+15.5)/2</f>
        <v>13.315000000000001</v>
      </c>
      <c r="F73" s="22">
        <f>(D73+E73)/2</f>
        <v>12.135000000000002</v>
      </c>
      <c r="G73" s="22">
        <v>0.8</v>
      </c>
      <c r="H73" s="22">
        <f t="shared" si="4"/>
        <v>9.708000000000002</v>
      </c>
      <c r="I73" s="22">
        <v>1</v>
      </c>
      <c r="J73" s="22">
        <f t="shared" si="1"/>
        <v>9.708000000000002</v>
      </c>
      <c r="K73" s="28" t="s">
        <v>18</v>
      </c>
    </row>
    <row r="74" spans="1:11">
      <c r="A74" s="9">
        <v>60</v>
      </c>
      <c r="B74" s="7" t="s">
        <v>128</v>
      </c>
      <c r="C74" s="7" t="s">
        <v>55</v>
      </c>
      <c r="D74" s="22">
        <v>11.93</v>
      </c>
      <c r="E74" s="22">
        <v>15.63</v>
      </c>
      <c r="F74" s="22">
        <f>(D74+E74)/2</f>
        <v>13.780000000000001</v>
      </c>
      <c r="G74" s="22">
        <v>0.7</v>
      </c>
      <c r="H74" s="22">
        <f t="shared" si="4"/>
        <v>9.6460000000000008</v>
      </c>
      <c r="I74" s="22">
        <v>1</v>
      </c>
      <c r="J74" s="22">
        <f t="shared" si="1"/>
        <v>9.6460000000000008</v>
      </c>
      <c r="K74" s="28" t="s">
        <v>18</v>
      </c>
    </row>
    <row r="75" spans="1:11">
      <c r="A75" s="9">
        <v>61</v>
      </c>
      <c r="B75" s="7" t="s">
        <v>129</v>
      </c>
      <c r="C75" s="7" t="s">
        <v>130</v>
      </c>
      <c r="D75" s="22">
        <v>11.82</v>
      </c>
      <c r="E75" s="22">
        <v>12.28</v>
      </c>
      <c r="F75" s="22">
        <f>(D75+E75)/2</f>
        <v>12.05</v>
      </c>
      <c r="G75" s="22">
        <v>0.8</v>
      </c>
      <c r="H75" s="22">
        <f t="shared" si="4"/>
        <v>9.64</v>
      </c>
      <c r="I75" s="22">
        <v>1</v>
      </c>
      <c r="J75" s="22">
        <f t="shared" si="1"/>
        <v>9.64</v>
      </c>
      <c r="K75" s="28" t="s">
        <v>18</v>
      </c>
    </row>
    <row r="76" spans="1:11">
      <c r="A76" s="9">
        <v>62</v>
      </c>
      <c r="B76" s="7" t="s">
        <v>131</v>
      </c>
      <c r="C76" s="7" t="s">
        <v>132</v>
      </c>
      <c r="D76" s="22"/>
      <c r="E76" s="22"/>
      <c r="F76" s="22">
        <f>(0.4*10.94)+(0.4*14.4)+(0.2*17.5)</f>
        <v>13.636000000000001</v>
      </c>
      <c r="G76" s="22">
        <v>0.7</v>
      </c>
      <c r="H76" s="22">
        <f t="shared" si="4"/>
        <v>9.5451999999999995</v>
      </c>
      <c r="I76" s="22">
        <v>1</v>
      </c>
      <c r="J76" s="22">
        <f t="shared" si="1"/>
        <v>9.5451999999999995</v>
      </c>
      <c r="K76" s="28" t="s">
        <v>18</v>
      </c>
    </row>
    <row r="77" spans="1:11">
      <c r="A77" s="9">
        <v>63</v>
      </c>
      <c r="B77" s="7" t="s">
        <v>133</v>
      </c>
      <c r="C77" s="7" t="s">
        <v>134</v>
      </c>
      <c r="D77" s="22"/>
      <c r="E77" s="22"/>
      <c r="F77" s="22">
        <f>(10.95*0.4)+(0.4*14.25)+(0.2*17)</f>
        <v>13.48</v>
      </c>
      <c r="G77" s="22">
        <v>0.7</v>
      </c>
      <c r="H77" s="22">
        <f t="shared" si="4"/>
        <v>9.4359999999999999</v>
      </c>
      <c r="I77" s="22">
        <v>1</v>
      </c>
      <c r="J77" s="22">
        <f t="shared" si="1"/>
        <v>9.4359999999999999</v>
      </c>
      <c r="K77" s="28" t="s">
        <v>18</v>
      </c>
    </row>
    <row r="78" spans="1:11">
      <c r="A78" s="9">
        <v>64</v>
      </c>
      <c r="B78" s="7" t="s">
        <v>135</v>
      </c>
      <c r="C78" s="7" t="s">
        <v>136</v>
      </c>
      <c r="D78" s="22"/>
      <c r="E78" s="22"/>
      <c r="F78" s="22">
        <f>(0.4*10.96)+(0.4*13.46)+(0.2*18.33)</f>
        <v>13.434000000000001</v>
      </c>
      <c r="G78" s="22">
        <v>0.7</v>
      </c>
      <c r="H78" s="22">
        <f t="shared" si="4"/>
        <v>9.4038000000000004</v>
      </c>
      <c r="I78" s="22">
        <v>1</v>
      </c>
      <c r="J78" s="22">
        <f t="shared" si="1"/>
        <v>9.4038000000000004</v>
      </c>
      <c r="K78" s="28" t="s">
        <v>18</v>
      </c>
    </row>
    <row r="79" spans="1:11">
      <c r="A79" s="9">
        <v>65</v>
      </c>
      <c r="B79" s="7" t="s">
        <v>137</v>
      </c>
      <c r="C79" s="7" t="s">
        <v>138</v>
      </c>
      <c r="D79" s="22">
        <f>(12.73+10.39)/2</f>
        <v>11.56</v>
      </c>
      <c r="E79" s="22">
        <f>(12.14+18)/2</f>
        <v>15.07</v>
      </c>
      <c r="F79" s="22">
        <f t="shared" ref="F79:F94" si="6">(D79+E79)/2</f>
        <v>13.315000000000001</v>
      </c>
      <c r="G79" s="22">
        <v>0.7</v>
      </c>
      <c r="H79" s="22">
        <f t="shared" ref="H79:H110" si="7">F79*G79</f>
        <v>9.3205000000000009</v>
      </c>
      <c r="I79" s="22">
        <v>1</v>
      </c>
      <c r="J79" s="22">
        <f t="shared" ref="J79:J119" si="8">H79*I79</f>
        <v>9.3205000000000009</v>
      </c>
      <c r="K79" s="28" t="s">
        <v>18</v>
      </c>
    </row>
    <row r="80" spans="1:11">
      <c r="A80" s="10">
        <v>66</v>
      </c>
      <c r="B80" s="7" t="s">
        <v>139</v>
      </c>
      <c r="C80" s="7" t="s">
        <v>140</v>
      </c>
      <c r="D80" s="22">
        <f>(10.7+11.62)/2</f>
        <v>11.16</v>
      </c>
      <c r="E80" s="22">
        <f>(12.96+17.95)/2</f>
        <v>15.455</v>
      </c>
      <c r="F80" s="22">
        <f t="shared" si="6"/>
        <v>13.307500000000001</v>
      </c>
      <c r="G80" s="22">
        <v>0.7</v>
      </c>
      <c r="H80" s="22">
        <f t="shared" si="7"/>
        <v>9.3152500000000007</v>
      </c>
      <c r="I80" s="22">
        <v>1</v>
      </c>
      <c r="J80" s="22">
        <f t="shared" si="8"/>
        <v>9.3152500000000007</v>
      </c>
      <c r="K80" s="28" t="s">
        <v>18</v>
      </c>
    </row>
    <row r="81" spans="1:11">
      <c r="A81" s="10">
        <v>67</v>
      </c>
      <c r="B81" s="7" t="s">
        <v>141</v>
      </c>
      <c r="C81" s="7" t="s">
        <v>32</v>
      </c>
      <c r="D81" s="22">
        <f>(10.24+12.15)/2</f>
        <v>11.195</v>
      </c>
      <c r="E81" s="22">
        <f>(13.06+17.75)/2</f>
        <v>15.405000000000001</v>
      </c>
      <c r="F81" s="22">
        <f t="shared" si="6"/>
        <v>13.3</v>
      </c>
      <c r="G81" s="22">
        <v>0.7</v>
      </c>
      <c r="H81" s="22">
        <f t="shared" si="7"/>
        <v>9.31</v>
      </c>
      <c r="I81" s="22">
        <v>1</v>
      </c>
      <c r="J81" s="22">
        <f t="shared" si="8"/>
        <v>9.31</v>
      </c>
      <c r="K81" s="28" t="s">
        <v>18</v>
      </c>
    </row>
    <row r="82" spans="1:11">
      <c r="A82" s="10">
        <v>68</v>
      </c>
      <c r="B82" s="7" t="s">
        <v>142</v>
      </c>
      <c r="C82" s="7" t="s">
        <v>143</v>
      </c>
      <c r="D82" s="22">
        <f>(10.59+12.25)/2</f>
        <v>11.42</v>
      </c>
      <c r="E82" s="22">
        <f>(12.05+17.95)/2</f>
        <v>15</v>
      </c>
      <c r="F82" s="22">
        <f t="shared" si="6"/>
        <v>13.21</v>
      </c>
      <c r="G82" s="22">
        <v>0.7</v>
      </c>
      <c r="H82" s="22">
        <f t="shared" si="7"/>
        <v>9.2469999999999999</v>
      </c>
      <c r="I82" s="22">
        <v>1</v>
      </c>
      <c r="J82" s="22">
        <f t="shared" si="8"/>
        <v>9.2469999999999999</v>
      </c>
      <c r="K82" s="28" t="s">
        <v>18</v>
      </c>
    </row>
    <row r="83" spans="1:11">
      <c r="A83" s="10">
        <v>69</v>
      </c>
      <c r="B83" s="7" t="s">
        <v>144</v>
      </c>
      <c r="C83" s="7" t="s">
        <v>145</v>
      </c>
      <c r="D83" s="22">
        <f>(10.56+12.28)/2</f>
        <v>11.42</v>
      </c>
      <c r="E83" s="22">
        <f>(12.24+17.75)/2</f>
        <v>14.995000000000001</v>
      </c>
      <c r="F83" s="22">
        <f t="shared" si="6"/>
        <v>13.2075</v>
      </c>
      <c r="G83" s="22">
        <v>0.7</v>
      </c>
      <c r="H83" s="22">
        <f t="shared" si="7"/>
        <v>9.2452499999999986</v>
      </c>
      <c r="I83" s="22">
        <v>1</v>
      </c>
      <c r="J83" s="22">
        <f t="shared" si="8"/>
        <v>9.2452499999999986</v>
      </c>
      <c r="K83" s="28" t="s">
        <v>18</v>
      </c>
    </row>
    <row r="84" spans="1:11" ht="15.75" thickBot="1">
      <c r="A84" s="11">
        <v>70</v>
      </c>
      <c r="B84" s="7" t="s">
        <v>146</v>
      </c>
      <c r="C84" s="7" t="s">
        <v>147</v>
      </c>
      <c r="D84" s="22">
        <v>11.35</v>
      </c>
      <c r="E84" s="22">
        <v>14.74</v>
      </c>
      <c r="F84" s="22">
        <f t="shared" si="6"/>
        <v>13.045</v>
      </c>
      <c r="G84" s="22">
        <v>0.7</v>
      </c>
      <c r="H84" s="22">
        <f t="shared" si="7"/>
        <v>9.1314999999999991</v>
      </c>
      <c r="I84" s="22">
        <v>1</v>
      </c>
      <c r="J84" s="22">
        <f t="shared" si="8"/>
        <v>9.1314999999999991</v>
      </c>
      <c r="K84" s="29" t="s">
        <v>18</v>
      </c>
    </row>
    <row r="85" spans="1:11" ht="15.75" thickBot="1">
      <c r="A85" s="12">
        <v>71</v>
      </c>
      <c r="B85" s="7" t="s">
        <v>148</v>
      </c>
      <c r="C85" s="7" t="s">
        <v>149</v>
      </c>
      <c r="D85" s="22">
        <v>11.15</v>
      </c>
      <c r="E85" s="22">
        <f>(11.76+18)/2</f>
        <v>14.879999999999999</v>
      </c>
      <c r="F85" s="22">
        <f t="shared" si="6"/>
        <v>13.015000000000001</v>
      </c>
      <c r="G85" s="22">
        <v>0.7</v>
      </c>
      <c r="H85" s="22">
        <f t="shared" si="7"/>
        <v>9.1105</v>
      </c>
      <c r="I85" s="22">
        <v>1</v>
      </c>
      <c r="J85" s="22">
        <f t="shared" si="8"/>
        <v>9.1105</v>
      </c>
      <c r="K85" s="29" t="s">
        <v>18</v>
      </c>
    </row>
    <row r="86" spans="1:11" ht="15.75" thickBot="1">
      <c r="A86" s="10">
        <v>72</v>
      </c>
      <c r="B86" s="7" t="s">
        <v>150</v>
      </c>
      <c r="C86" s="7" t="s">
        <v>105</v>
      </c>
      <c r="D86" s="22">
        <f>(11.28+10.58)/2</f>
        <v>10.93</v>
      </c>
      <c r="E86" s="22">
        <f>(12.18+18)/2</f>
        <v>15.09</v>
      </c>
      <c r="F86" s="22">
        <f t="shared" si="6"/>
        <v>13.01</v>
      </c>
      <c r="G86" s="22">
        <v>0.7</v>
      </c>
      <c r="H86" s="22">
        <f t="shared" si="7"/>
        <v>9.1069999999999993</v>
      </c>
      <c r="I86" s="22">
        <v>1</v>
      </c>
      <c r="J86" s="22">
        <f t="shared" si="8"/>
        <v>9.1069999999999993</v>
      </c>
      <c r="K86" s="29" t="s">
        <v>18</v>
      </c>
    </row>
    <row r="87" spans="1:11" ht="15.75" thickBot="1">
      <c r="A87" s="10">
        <v>73</v>
      </c>
      <c r="B87" s="7" t="s">
        <v>151</v>
      </c>
      <c r="C87" s="7" t="s">
        <v>152</v>
      </c>
      <c r="D87" s="22">
        <v>11.16</v>
      </c>
      <c r="E87" s="22">
        <v>14.45</v>
      </c>
      <c r="F87" s="22">
        <f t="shared" si="6"/>
        <v>12.805</v>
      </c>
      <c r="G87" s="22">
        <v>0.7</v>
      </c>
      <c r="H87" s="22">
        <f t="shared" si="7"/>
        <v>8.9634999999999998</v>
      </c>
      <c r="I87" s="22">
        <v>1</v>
      </c>
      <c r="J87" s="22">
        <f t="shared" si="8"/>
        <v>8.9634999999999998</v>
      </c>
      <c r="K87" s="29" t="s">
        <v>18</v>
      </c>
    </row>
    <row r="88" spans="1:11" ht="15.75" thickBot="1">
      <c r="A88" s="10">
        <v>74</v>
      </c>
      <c r="B88" s="7" t="s">
        <v>153</v>
      </c>
      <c r="C88" s="7" t="s">
        <v>154</v>
      </c>
      <c r="D88" s="22">
        <f>(10.76+11.89)/2</f>
        <v>11.324999999999999</v>
      </c>
      <c r="E88" s="22">
        <f>(10.56+18)/2</f>
        <v>14.280000000000001</v>
      </c>
      <c r="F88" s="22">
        <f t="shared" si="6"/>
        <v>12.8025</v>
      </c>
      <c r="G88" s="22">
        <v>0.7</v>
      </c>
      <c r="H88" s="22">
        <f t="shared" si="7"/>
        <v>8.9617500000000003</v>
      </c>
      <c r="I88" s="22">
        <v>1</v>
      </c>
      <c r="J88" s="22">
        <f t="shared" si="8"/>
        <v>8.9617500000000003</v>
      </c>
      <c r="K88" s="29" t="s">
        <v>18</v>
      </c>
    </row>
    <row r="89" spans="1:11" ht="15.75" thickBot="1">
      <c r="A89" s="10">
        <v>75</v>
      </c>
      <c r="B89" s="7" t="s">
        <v>155</v>
      </c>
      <c r="C89" s="7" t="s">
        <v>156</v>
      </c>
      <c r="D89" s="22">
        <v>11.36</v>
      </c>
      <c r="E89" s="22">
        <v>14.24</v>
      </c>
      <c r="F89" s="22">
        <f t="shared" si="6"/>
        <v>12.8</v>
      </c>
      <c r="G89" s="22">
        <v>0.7</v>
      </c>
      <c r="H89" s="22">
        <f t="shared" si="7"/>
        <v>8.9599999999999991</v>
      </c>
      <c r="I89" s="22">
        <v>1</v>
      </c>
      <c r="J89" s="22">
        <f t="shared" si="8"/>
        <v>8.9599999999999991</v>
      </c>
      <c r="K89" s="29" t="s">
        <v>18</v>
      </c>
    </row>
    <row r="90" spans="1:11" ht="15.75" thickBot="1">
      <c r="A90" s="10">
        <v>76</v>
      </c>
      <c r="B90" s="7" t="s">
        <v>157</v>
      </c>
      <c r="C90" s="7" t="s">
        <v>158</v>
      </c>
      <c r="D90" s="22">
        <f>(10.73+11.35)/2</f>
        <v>11.04</v>
      </c>
      <c r="E90" s="22">
        <f>(11.75+17)/2</f>
        <v>14.375</v>
      </c>
      <c r="F90" s="22">
        <f t="shared" si="6"/>
        <v>12.7075</v>
      </c>
      <c r="G90" s="22">
        <v>0.7</v>
      </c>
      <c r="H90" s="22">
        <f t="shared" si="7"/>
        <v>8.895249999999999</v>
      </c>
      <c r="I90" s="22">
        <v>1</v>
      </c>
      <c r="J90" s="22">
        <f t="shared" si="8"/>
        <v>8.895249999999999</v>
      </c>
      <c r="K90" s="29" t="s">
        <v>18</v>
      </c>
    </row>
    <row r="91" spans="1:11" ht="15.75" thickBot="1">
      <c r="A91" s="13">
        <v>77</v>
      </c>
      <c r="B91" s="7" t="s">
        <v>159</v>
      </c>
      <c r="C91" s="7" t="s">
        <v>160</v>
      </c>
      <c r="D91" s="22">
        <f>(11.54+11.12)/2</f>
        <v>11.329999999999998</v>
      </c>
      <c r="E91" s="22">
        <f>(17.95+10.07)/2</f>
        <v>14.01</v>
      </c>
      <c r="F91" s="22">
        <f t="shared" si="6"/>
        <v>12.669999999999998</v>
      </c>
      <c r="G91" s="22">
        <v>0.7</v>
      </c>
      <c r="H91" s="22">
        <f t="shared" si="7"/>
        <v>8.868999999999998</v>
      </c>
      <c r="I91" s="22">
        <v>1</v>
      </c>
      <c r="J91" s="22">
        <f t="shared" si="8"/>
        <v>8.868999999999998</v>
      </c>
      <c r="K91" s="29" t="s">
        <v>18</v>
      </c>
    </row>
    <row r="92" spans="1:11" ht="15.75" thickBot="1">
      <c r="A92" s="13">
        <v>78</v>
      </c>
      <c r="B92" s="7" t="s">
        <v>161</v>
      </c>
      <c r="C92" s="7" t="s">
        <v>162</v>
      </c>
      <c r="D92" s="22">
        <f>(10.08+10.54)/2</f>
        <v>10.309999999999999</v>
      </c>
      <c r="E92" s="22">
        <f>(12.65+17)/2</f>
        <v>14.824999999999999</v>
      </c>
      <c r="F92" s="22">
        <f t="shared" si="6"/>
        <v>12.567499999999999</v>
      </c>
      <c r="G92" s="22">
        <v>0.7</v>
      </c>
      <c r="H92" s="22">
        <f t="shared" si="7"/>
        <v>8.7972499999999982</v>
      </c>
      <c r="I92" s="22">
        <v>1</v>
      </c>
      <c r="J92" s="22">
        <f t="shared" si="8"/>
        <v>8.7972499999999982</v>
      </c>
      <c r="K92" s="29" t="s">
        <v>18</v>
      </c>
    </row>
    <row r="93" spans="1:11" ht="15.75" thickBot="1">
      <c r="A93" s="13">
        <v>79</v>
      </c>
      <c r="B93" s="7" t="s">
        <v>163</v>
      </c>
      <c r="C93" s="7" t="s">
        <v>164</v>
      </c>
      <c r="D93" s="22">
        <v>10.34</v>
      </c>
      <c r="E93" s="22">
        <v>14.55</v>
      </c>
      <c r="F93" s="22">
        <f t="shared" si="6"/>
        <v>12.445</v>
      </c>
      <c r="G93" s="22">
        <v>0.7</v>
      </c>
      <c r="H93" s="22">
        <f t="shared" si="7"/>
        <v>8.7114999999999991</v>
      </c>
      <c r="I93" s="22">
        <v>1</v>
      </c>
      <c r="J93" s="22">
        <f t="shared" si="8"/>
        <v>8.7114999999999991</v>
      </c>
      <c r="K93" s="29" t="s">
        <v>18</v>
      </c>
    </row>
    <row r="94" spans="1:11" ht="15.75" thickBot="1">
      <c r="A94" s="13">
        <v>80</v>
      </c>
      <c r="B94" s="7" t="s">
        <v>165</v>
      </c>
      <c r="C94" s="7" t="s">
        <v>166</v>
      </c>
      <c r="D94" s="22">
        <f>(10.08+11.2)/2</f>
        <v>10.64</v>
      </c>
      <c r="E94" s="22">
        <f>(12.38+16)/2</f>
        <v>14.190000000000001</v>
      </c>
      <c r="F94" s="22">
        <f t="shared" si="6"/>
        <v>12.415000000000001</v>
      </c>
      <c r="G94" s="22">
        <v>0.7</v>
      </c>
      <c r="H94" s="22">
        <f t="shared" si="7"/>
        <v>8.6905000000000001</v>
      </c>
      <c r="I94" s="22">
        <v>1</v>
      </c>
      <c r="J94" s="22">
        <f t="shared" si="8"/>
        <v>8.6905000000000001</v>
      </c>
      <c r="K94" s="29" t="s">
        <v>18</v>
      </c>
    </row>
    <row r="95" spans="1:11" ht="15.75" thickBot="1">
      <c r="A95" s="13">
        <v>81</v>
      </c>
      <c r="B95" s="7" t="s">
        <v>167</v>
      </c>
      <c r="C95" s="7" t="s">
        <v>74</v>
      </c>
      <c r="D95" s="22"/>
      <c r="E95" s="22"/>
      <c r="F95" s="22">
        <f>(10.05*0.4)+(12.09*0.4)+(17*0.2)</f>
        <v>12.256000000000002</v>
      </c>
      <c r="G95" s="22">
        <v>0.7</v>
      </c>
      <c r="H95" s="22">
        <f t="shared" si="7"/>
        <v>8.5792000000000002</v>
      </c>
      <c r="I95" s="22">
        <v>1</v>
      </c>
      <c r="J95" s="22">
        <f t="shared" si="8"/>
        <v>8.5792000000000002</v>
      </c>
      <c r="K95" s="29" t="s">
        <v>18</v>
      </c>
    </row>
    <row r="96" spans="1:11" ht="15.75" thickBot="1">
      <c r="A96" s="13">
        <v>82</v>
      </c>
      <c r="B96" s="7" t="s">
        <v>168</v>
      </c>
      <c r="C96" s="7" t="s">
        <v>169</v>
      </c>
      <c r="D96" s="22"/>
      <c r="E96" s="22"/>
      <c r="F96" s="22">
        <f>(13.58*0.4)+(14.97*0.4)+(13.017*0.2)</f>
        <v>14.023400000000002</v>
      </c>
      <c r="G96" s="22">
        <v>0.6</v>
      </c>
      <c r="H96" s="22">
        <f t="shared" si="7"/>
        <v>8.4140400000000017</v>
      </c>
      <c r="I96" s="22">
        <v>1</v>
      </c>
      <c r="J96" s="22">
        <f t="shared" si="8"/>
        <v>8.4140400000000017</v>
      </c>
      <c r="K96" s="29" t="s">
        <v>18</v>
      </c>
    </row>
    <row r="97" spans="1:11" ht="15.75" thickBot="1">
      <c r="A97" s="10">
        <v>83</v>
      </c>
      <c r="B97" s="7" t="s">
        <v>170</v>
      </c>
      <c r="C97" s="7" t="s">
        <v>171</v>
      </c>
      <c r="D97" s="22">
        <f>(11.5+12.12)/2</f>
        <v>11.809999999999999</v>
      </c>
      <c r="E97" s="22">
        <f>(12.83+18)/2</f>
        <v>15.414999999999999</v>
      </c>
      <c r="F97" s="22">
        <f t="shared" ref="F97:F119" si="9">(D97+E97)/2</f>
        <v>13.612499999999999</v>
      </c>
      <c r="G97" s="22">
        <v>0.6</v>
      </c>
      <c r="H97" s="22">
        <f t="shared" si="7"/>
        <v>8.1674999999999986</v>
      </c>
      <c r="I97" s="22">
        <v>1</v>
      </c>
      <c r="J97" s="22">
        <f t="shared" si="8"/>
        <v>8.1674999999999986</v>
      </c>
      <c r="K97" s="29" t="s">
        <v>18</v>
      </c>
    </row>
    <row r="98" spans="1:11" ht="15.75" thickBot="1">
      <c r="A98" s="10">
        <v>84</v>
      </c>
      <c r="B98" s="7" t="s">
        <v>172</v>
      </c>
      <c r="C98" s="7" t="s">
        <v>173</v>
      </c>
      <c r="D98" s="22">
        <f>(12.71+12.68)/2</f>
        <v>12.695</v>
      </c>
      <c r="E98" s="22">
        <f>(11.39+16.5)/2</f>
        <v>13.945</v>
      </c>
      <c r="F98" s="22">
        <f t="shared" si="9"/>
        <v>13.32</v>
      </c>
      <c r="G98" s="22">
        <v>0.6</v>
      </c>
      <c r="H98" s="22">
        <f t="shared" si="7"/>
        <v>7.992</v>
      </c>
      <c r="I98" s="22">
        <v>1</v>
      </c>
      <c r="J98" s="22">
        <f t="shared" si="8"/>
        <v>7.992</v>
      </c>
      <c r="K98" s="29" t="s">
        <v>18</v>
      </c>
    </row>
    <row r="99" spans="1:11" ht="15.75" thickBot="1">
      <c r="A99" s="14">
        <v>85</v>
      </c>
      <c r="B99" s="7" t="s">
        <v>174</v>
      </c>
      <c r="C99" s="7" t="s">
        <v>175</v>
      </c>
      <c r="D99" s="22">
        <f>(10.7+10.94)/2</f>
        <v>10.82</v>
      </c>
      <c r="E99" s="22">
        <f>(15.26+15.65)/2</f>
        <v>15.455</v>
      </c>
      <c r="F99" s="22">
        <f t="shared" si="9"/>
        <v>13.137499999999999</v>
      </c>
      <c r="G99" s="22">
        <v>0.6</v>
      </c>
      <c r="H99" s="22">
        <f t="shared" si="7"/>
        <v>7.8824999999999994</v>
      </c>
      <c r="I99" s="22">
        <v>1</v>
      </c>
      <c r="J99" s="22">
        <f t="shared" si="8"/>
        <v>7.8824999999999994</v>
      </c>
      <c r="K99" s="29" t="s">
        <v>18</v>
      </c>
    </row>
    <row r="100" spans="1:11" ht="15.75" thickBot="1">
      <c r="A100" s="14">
        <v>86</v>
      </c>
      <c r="B100" s="7" t="s">
        <v>176</v>
      </c>
      <c r="C100" s="7" t="s">
        <v>177</v>
      </c>
      <c r="D100" s="22">
        <f>(11.45+10.78)/2</f>
        <v>11.114999999999998</v>
      </c>
      <c r="E100" s="22">
        <f>(12.2+17)/2</f>
        <v>14.6</v>
      </c>
      <c r="F100" s="22">
        <f t="shared" si="9"/>
        <v>12.857499999999998</v>
      </c>
      <c r="G100" s="22">
        <v>0.6</v>
      </c>
      <c r="H100" s="22">
        <f t="shared" si="7"/>
        <v>7.7144999999999984</v>
      </c>
      <c r="I100" s="22">
        <v>1</v>
      </c>
      <c r="J100" s="22">
        <f t="shared" si="8"/>
        <v>7.7144999999999984</v>
      </c>
      <c r="K100" s="29" t="s">
        <v>18</v>
      </c>
    </row>
    <row r="101" spans="1:11" ht="15.75" thickBot="1">
      <c r="A101" s="14">
        <v>87</v>
      </c>
      <c r="B101" s="7" t="s">
        <v>178</v>
      </c>
      <c r="C101" s="7" t="s">
        <v>63</v>
      </c>
      <c r="D101" s="22">
        <f>(10.22+11.53)/2</f>
        <v>10.875</v>
      </c>
      <c r="E101" s="22">
        <f>(10.48+18.5)/2</f>
        <v>14.49</v>
      </c>
      <c r="F101" s="22">
        <f t="shared" si="9"/>
        <v>12.682500000000001</v>
      </c>
      <c r="G101" s="22">
        <v>0.6</v>
      </c>
      <c r="H101" s="22">
        <f t="shared" si="7"/>
        <v>7.6095000000000006</v>
      </c>
      <c r="I101" s="22">
        <v>1</v>
      </c>
      <c r="J101" s="22">
        <f t="shared" si="8"/>
        <v>7.6095000000000006</v>
      </c>
      <c r="K101" s="29" t="s">
        <v>18</v>
      </c>
    </row>
    <row r="102" spans="1:11" ht="15.75" thickBot="1">
      <c r="A102" s="15">
        <v>88</v>
      </c>
      <c r="B102" s="7" t="s">
        <v>179</v>
      </c>
      <c r="C102" s="7" t="s">
        <v>105</v>
      </c>
      <c r="D102" s="22">
        <f>(10.58+10.66)/2</f>
        <v>10.620000000000001</v>
      </c>
      <c r="E102" s="22">
        <f>(12.47+17)/2</f>
        <v>14.734999999999999</v>
      </c>
      <c r="F102" s="22">
        <f t="shared" si="9"/>
        <v>12.6775</v>
      </c>
      <c r="G102" s="22">
        <v>0.6</v>
      </c>
      <c r="H102" s="22">
        <f t="shared" si="7"/>
        <v>7.6064999999999996</v>
      </c>
      <c r="I102" s="22">
        <v>1</v>
      </c>
      <c r="J102" s="22">
        <f t="shared" si="8"/>
        <v>7.6064999999999996</v>
      </c>
      <c r="K102" s="29" t="s">
        <v>18</v>
      </c>
    </row>
    <row r="103" spans="1:11" ht="15.75" thickBot="1">
      <c r="A103" s="15">
        <v>89</v>
      </c>
      <c r="B103" s="7" t="s">
        <v>180</v>
      </c>
      <c r="C103" s="7" t="s">
        <v>181</v>
      </c>
      <c r="D103" s="22">
        <f>(10.11+11.9)/2</f>
        <v>11.004999999999999</v>
      </c>
      <c r="E103" s="22">
        <f>(12.14+16.5)/2</f>
        <v>14.32</v>
      </c>
      <c r="F103" s="22">
        <f t="shared" si="9"/>
        <v>12.6625</v>
      </c>
      <c r="G103" s="22">
        <v>0.6</v>
      </c>
      <c r="H103" s="22">
        <f t="shared" si="7"/>
        <v>7.5974999999999993</v>
      </c>
      <c r="I103" s="22">
        <v>1</v>
      </c>
      <c r="J103" s="22">
        <f t="shared" si="8"/>
        <v>7.5974999999999993</v>
      </c>
      <c r="K103" s="29" t="s">
        <v>18</v>
      </c>
    </row>
    <row r="104" spans="1:11" ht="15.75" thickBot="1">
      <c r="A104" s="15">
        <v>90</v>
      </c>
      <c r="B104" s="7" t="s">
        <v>182</v>
      </c>
      <c r="C104" s="7" t="s">
        <v>183</v>
      </c>
      <c r="D104" s="22">
        <v>11.05</v>
      </c>
      <c r="E104" s="22">
        <v>13.7</v>
      </c>
      <c r="F104" s="22">
        <f t="shared" si="9"/>
        <v>12.375</v>
      </c>
      <c r="G104" s="22">
        <v>0.6</v>
      </c>
      <c r="H104" s="22">
        <f t="shared" si="7"/>
        <v>7.4249999999999998</v>
      </c>
      <c r="I104" s="22">
        <v>1</v>
      </c>
      <c r="J104" s="22">
        <f t="shared" si="8"/>
        <v>7.4249999999999998</v>
      </c>
      <c r="K104" s="29" t="s">
        <v>18</v>
      </c>
    </row>
    <row r="105" spans="1:11" ht="15.75" thickBot="1">
      <c r="A105" s="15">
        <v>91</v>
      </c>
      <c r="B105" s="7" t="s">
        <v>184</v>
      </c>
      <c r="C105" s="7" t="s">
        <v>89</v>
      </c>
      <c r="D105" s="22">
        <f>(10.1+10.29)/2</f>
        <v>10.195</v>
      </c>
      <c r="E105" s="22">
        <f>(10.18+18.5)/2</f>
        <v>14.34</v>
      </c>
      <c r="F105" s="22">
        <f t="shared" si="9"/>
        <v>12.2675</v>
      </c>
      <c r="G105" s="22">
        <v>0.6</v>
      </c>
      <c r="H105" s="22">
        <f t="shared" si="7"/>
        <v>7.3605</v>
      </c>
      <c r="I105" s="22">
        <v>1</v>
      </c>
      <c r="J105" s="22">
        <f t="shared" si="8"/>
        <v>7.3605</v>
      </c>
      <c r="K105" s="29" t="s">
        <v>18</v>
      </c>
    </row>
    <row r="106" spans="1:11" ht="15.75" thickBot="1">
      <c r="A106" s="15">
        <v>92</v>
      </c>
      <c r="B106" s="7" t="s">
        <v>71</v>
      </c>
      <c r="C106" s="7" t="s">
        <v>185</v>
      </c>
      <c r="D106" s="22">
        <f>(10.55+10.14)/2</f>
        <v>10.345000000000001</v>
      </c>
      <c r="E106" s="22">
        <f>(10.86+17.5)/2</f>
        <v>14.18</v>
      </c>
      <c r="F106" s="22">
        <f t="shared" si="9"/>
        <v>12.262499999999999</v>
      </c>
      <c r="G106" s="22">
        <v>1</v>
      </c>
      <c r="H106" s="22">
        <f t="shared" si="7"/>
        <v>12.262499999999999</v>
      </c>
      <c r="I106" s="22">
        <v>0.6</v>
      </c>
      <c r="J106" s="22">
        <f t="shared" si="8"/>
        <v>7.357499999999999</v>
      </c>
      <c r="K106" s="29" t="s">
        <v>18</v>
      </c>
    </row>
    <row r="107" spans="1:11" ht="15.75" thickBot="1">
      <c r="A107" s="15">
        <v>93</v>
      </c>
      <c r="B107" s="7" t="s">
        <v>186</v>
      </c>
      <c r="C107" s="7" t="s">
        <v>187</v>
      </c>
      <c r="D107" s="22">
        <f>(13.51+11.92)/2</f>
        <v>12.715</v>
      </c>
      <c r="E107" s="22">
        <f>(11.02+17.5)/2</f>
        <v>14.26</v>
      </c>
      <c r="F107" s="22">
        <f t="shared" si="9"/>
        <v>13.487500000000001</v>
      </c>
      <c r="G107" s="22">
        <v>0.8</v>
      </c>
      <c r="H107" s="22">
        <f t="shared" si="7"/>
        <v>10.790000000000001</v>
      </c>
      <c r="I107" s="22">
        <v>0.6</v>
      </c>
      <c r="J107" s="22">
        <f t="shared" si="8"/>
        <v>6.4740000000000002</v>
      </c>
      <c r="K107" s="29" t="s">
        <v>18</v>
      </c>
    </row>
    <row r="108" spans="1:11" ht="15.75" thickBot="1">
      <c r="A108" s="15">
        <v>94</v>
      </c>
      <c r="B108" s="7" t="s">
        <v>188</v>
      </c>
      <c r="C108" s="7" t="s">
        <v>189</v>
      </c>
      <c r="D108" s="22">
        <f>(10.44+12.01)/2</f>
        <v>11.225</v>
      </c>
      <c r="E108" s="22">
        <f>(12.98+16.5)/2</f>
        <v>14.74</v>
      </c>
      <c r="F108" s="22">
        <f t="shared" si="9"/>
        <v>12.9825</v>
      </c>
      <c r="G108" s="22">
        <v>0.8</v>
      </c>
      <c r="H108" s="22">
        <f t="shared" si="7"/>
        <v>10.386000000000001</v>
      </c>
      <c r="I108" s="22">
        <v>0.6</v>
      </c>
      <c r="J108" s="22">
        <f t="shared" si="8"/>
        <v>6.2316000000000003</v>
      </c>
      <c r="K108" s="29" t="s">
        <v>18</v>
      </c>
    </row>
    <row r="109" spans="1:11" ht="15.75" thickBot="1">
      <c r="A109" s="15">
        <v>95</v>
      </c>
      <c r="B109" s="7" t="s">
        <v>190</v>
      </c>
      <c r="C109" s="7" t="s">
        <v>80</v>
      </c>
      <c r="D109" s="22">
        <f>(12.39+11.4)/2</f>
        <v>11.895</v>
      </c>
      <c r="E109" s="22">
        <f>(12.79+18)/2</f>
        <v>15.395</v>
      </c>
      <c r="F109" s="22">
        <f t="shared" si="9"/>
        <v>13.645</v>
      </c>
      <c r="G109" s="22">
        <v>0.7</v>
      </c>
      <c r="H109" s="22">
        <f t="shared" si="7"/>
        <v>9.551499999999999</v>
      </c>
      <c r="I109" s="22">
        <v>0.6</v>
      </c>
      <c r="J109" s="22">
        <f t="shared" si="8"/>
        <v>5.7308999999999992</v>
      </c>
      <c r="K109" s="29" t="s">
        <v>18</v>
      </c>
    </row>
    <row r="110" spans="1:11" ht="15.75" thickBot="1">
      <c r="A110" s="15">
        <v>96</v>
      </c>
      <c r="B110" s="7" t="s">
        <v>191</v>
      </c>
      <c r="C110" s="7" t="s">
        <v>66</v>
      </c>
      <c r="D110" s="22">
        <f>(11.51+10.56)/2</f>
        <v>11.035</v>
      </c>
      <c r="E110" s="22">
        <f>(12.05+19)/2</f>
        <v>15.525</v>
      </c>
      <c r="F110" s="22">
        <f t="shared" si="9"/>
        <v>13.280000000000001</v>
      </c>
      <c r="G110" s="22">
        <v>0.7</v>
      </c>
      <c r="H110" s="22">
        <f t="shared" si="7"/>
        <v>9.2959999999999994</v>
      </c>
      <c r="I110" s="22">
        <v>0.6</v>
      </c>
      <c r="J110" s="22">
        <f t="shared" si="8"/>
        <v>5.5775999999999994</v>
      </c>
      <c r="K110" s="29" t="s">
        <v>18</v>
      </c>
    </row>
    <row r="111" spans="1:11" ht="15.75" thickBot="1">
      <c r="A111" s="15">
        <v>97</v>
      </c>
      <c r="B111" s="7" t="s">
        <v>192</v>
      </c>
      <c r="C111" s="7" t="s">
        <v>193</v>
      </c>
      <c r="D111" s="22">
        <v>11.5</v>
      </c>
      <c r="E111" s="22">
        <v>13.99</v>
      </c>
      <c r="F111" s="22">
        <f t="shared" si="9"/>
        <v>12.745000000000001</v>
      </c>
      <c r="G111" s="22">
        <v>0.7</v>
      </c>
      <c r="H111" s="22">
        <f t="shared" ref="H111:H119" si="10">F111*G111</f>
        <v>8.9215</v>
      </c>
      <c r="I111" s="22">
        <v>0.6</v>
      </c>
      <c r="J111" s="22">
        <f t="shared" si="8"/>
        <v>5.3529</v>
      </c>
      <c r="K111" s="29" t="s">
        <v>18</v>
      </c>
    </row>
    <row r="112" spans="1:11" ht="15.75" thickBot="1">
      <c r="A112" s="15">
        <v>98</v>
      </c>
      <c r="B112" s="7" t="s">
        <v>194</v>
      </c>
      <c r="C112" s="7" t="s">
        <v>195</v>
      </c>
      <c r="D112" s="22">
        <v>11.11</v>
      </c>
      <c r="E112" s="22">
        <v>14.27</v>
      </c>
      <c r="F112" s="22">
        <f t="shared" si="9"/>
        <v>12.69</v>
      </c>
      <c r="G112" s="22">
        <v>0.7</v>
      </c>
      <c r="H112" s="22">
        <f t="shared" si="10"/>
        <v>8.8829999999999991</v>
      </c>
      <c r="I112" s="22">
        <v>0.6</v>
      </c>
      <c r="J112" s="22">
        <f t="shared" si="8"/>
        <v>5.3297999999999996</v>
      </c>
      <c r="K112" s="29" t="s">
        <v>18</v>
      </c>
    </row>
    <row r="113" spans="1:11" ht="15.75" thickBot="1">
      <c r="A113" s="15">
        <v>99</v>
      </c>
      <c r="B113" s="7" t="s">
        <v>196</v>
      </c>
      <c r="C113" s="7" t="s">
        <v>49</v>
      </c>
      <c r="D113" s="22">
        <f>(11.1+10.25)/2</f>
        <v>10.675000000000001</v>
      </c>
      <c r="E113" s="22">
        <f>(13.21+17.75)/2</f>
        <v>15.48</v>
      </c>
      <c r="F113" s="22">
        <f t="shared" si="9"/>
        <v>13.077500000000001</v>
      </c>
      <c r="G113" s="22">
        <v>0.6</v>
      </c>
      <c r="H113" s="22">
        <f t="shared" si="10"/>
        <v>7.8464999999999998</v>
      </c>
      <c r="I113" s="22">
        <v>0.6</v>
      </c>
      <c r="J113" s="22">
        <f t="shared" si="8"/>
        <v>4.7078999999999995</v>
      </c>
      <c r="K113" s="29" t="s">
        <v>18</v>
      </c>
    </row>
    <row r="114" spans="1:11" ht="15.75" thickBot="1">
      <c r="A114" s="15">
        <v>100</v>
      </c>
      <c r="B114" s="7" t="s">
        <v>197</v>
      </c>
      <c r="C114" s="7" t="s">
        <v>82</v>
      </c>
      <c r="D114" s="22">
        <f>(13.38+12.42)/2</f>
        <v>12.9</v>
      </c>
      <c r="E114" s="22">
        <f>(11.74+14.5)/2</f>
        <v>13.120000000000001</v>
      </c>
      <c r="F114" s="22">
        <f t="shared" si="9"/>
        <v>13.010000000000002</v>
      </c>
      <c r="G114" s="22">
        <v>0.6</v>
      </c>
      <c r="H114" s="22">
        <f t="shared" si="10"/>
        <v>7.8060000000000009</v>
      </c>
      <c r="I114" s="22">
        <v>0.6</v>
      </c>
      <c r="J114" s="22">
        <f t="shared" si="8"/>
        <v>4.6836000000000002</v>
      </c>
      <c r="K114" s="29" t="s">
        <v>18</v>
      </c>
    </row>
    <row r="115" spans="1:11" ht="15.75" thickBot="1">
      <c r="A115" s="15">
        <v>101</v>
      </c>
      <c r="B115" s="7" t="s">
        <v>198</v>
      </c>
      <c r="C115" s="7" t="s">
        <v>32</v>
      </c>
      <c r="D115" s="22">
        <f>(10.35+11.59)/2</f>
        <v>10.969999999999999</v>
      </c>
      <c r="E115" s="22">
        <f>(11.32+17)/2</f>
        <v>14.16</v>
      </c>
      <c r="F115" s="22">
        <f t="shared" si="9"/>
        <v>12.565</v>
      </c>
      <c r="G115" s="22">
        <v>0.6</v>
      </c>
      <c r="H115" s="22">
        <f t="shared" si="10"/>
        <v>7.5389999999999997</v>
      </c>
      <c r="I115" s="22">
        <v>0.6</v>
      </c>
      <c r="J115" s="22">
        <f t="shared" si="8"/>
        <v>4.5233999999999996</v>
      </c>
      <c r="K115" s="29" t="s">
        <v>18</v>
      </c>
    </row>
    <row r="116" spans="1:11" ht="15.75" thickBot="1">
      <c r="A116" s="15">
        <v>102</v>
      </c>
      <c r="B116" s="7" t="s">
        <v>199</v>
      </c>
      <c r="C116" s="7" t="s">
        <v>166</v>
      </c>
      <c r="D116" s="22">
        <f>(10.32+10.17)/2</f>
        <v>10.245000000000001</v>
      </c>
      <c r="E116" s="22">
        <f>(10.74+18)/2</f>
        <v>14.370000000000001</v>
      </c>
      <c r="F116" s="22">
        <f t="shared" si="9"/>
        <v>12.307500000000001</v>
      </c>
      <c r="G116" s="22">
        <v>0.6</v>
      </c>
      <c r="H116" s="22">
        <f t="shared" si="10"/>
        <v>7.3845000000000001</v>
      </c>
      <c r="I116" s="22">
        <v>0.6</v>
      </c>
      <c r="J116" s="22">
        <f t="shared" si="8"/>
        <v>4.4306999999999999</v>
      </c>
      <c r="K116" s="29" t="s">
        <v>18</v>
      </c>
    </row>
    <row r="117" spans="1:11" ht="15.75" thickBot="1">
      <c r="A117" s="15">
        <v>103</v>
      </c>
      <c r="B117" s="7" t="s">
        <v>37</v>
      </c>
      <c r="C117" s="7" t="s">
        <v>82</v>
      </c>
      <c r="D117" s="22">
        <v>10.02</v>
      </c>
      <c r="E117" s="22">
        <f>(10.12+18.5)/2</f>
        <v>14.309999999999999</v>
      </c>
      <c r="F117" s="22">
        <f t="shared" si="9"/>
        <v>12.164999999999999</v>
      </c>
      <c r="G117" s="22">
        <v>0.5</v>
      </c>
      <c r="H117" s="22">
        <f t="shared" si="10"/>
        <v>6.0824999999999996</v>
      </c>
      <c r="I117" s="22">
        <v>0.6</v>
      </c>
      <c r="J117" s="22">
        <f t="shared" si="8"/>
        <v>3.6494999999999997</v>
      </c>
      <c r="K117" s="29" t="s">
        <v>18</v>
      </c>
    </row>
    <row r="118" spans="1:11" ht="15.75" thickBot="1">
      <c r="A118" s="15">
        <v>104</v>
      </c>
      <c r="B118" s="7" t="s">
        <v>200</v>
      </c>
      <c r="C118" s="7" t="s">
        <v>201</v>
      </c>
      <c r="D118" s="22">
        <f>(10.51+10.09)/2</f>
        <v>10.3</v>
      </c>
      <c r="E118" s="22">
        <f>(10.76+17)/2</f>
        <v>13.879999999999999</v>
      </c>
      <c r="F118" s="22">
        <f t="shared" si="9"/>
        <v>12.09</v>
      </c>
      <c r="G118" s="22">
        <v>0.5</v>
      </c>
      <c r="H118" s="22">
        <f t="shared" si="10"/>
        <v>6.0449999999999999</v>
      </c>
      <c r="I118" s="22">
        <v>0.6</v>
      </c>
      <c r="J118" s="22">
        <f t="shared" si="8"/>
        <v>3.6269999999999998</v>
      </c>
      <c r="K118" s="29" t="s">
        <v>18</v>
      </c>
    </row>
    <row r="119" spans="1:11" ht="15.75" thickBot="1">
      <c r="A119" s="15">
        <v>105</v>
      </c>
      <c r="B119" s="7" t="s">
        <v>202</v>
      </c>
      <c r="C119" s="7" t="s">
        <v>203</v>
      </c>
      <c r="D119" s="22">
        <f>(11.85+11.16)/2</f>
        <v>11.504999999999999</v>
      </c>
      <c r="E119" s="22">
        <f>(12.05+12)/2</f>
        <v>12.025</v>
      </c>
      <c r="F119" s="22">
        <f t="shared" si="9"/>
        <v>11.765000000000001</v>
      </c>
      <c r="G119" s="22">
        <v>0.5</v>
      </c>
      <c r="H119" s="22">
        <f t="shared" si="10"/>
        <v>5.8825000000000003</v>
      </c>
      <c r="I119" s="22">
        <v>0.6</v>
      </c>
      <c r="J119" s="22">
        <f t="shared" si="8"/>
        <v>3.5295000000000001</v>
      </c>
      <c r="K119" s="29" t="s">
        <v>18</v>
      </c>
    </row>
    <row r="120" spans="1:11">
      <c r="A120" t="s">
        <v>207</v>
      </c>
    </row>
    <row r="121" spans="1:11">
      <c r="A121" t="s">
        <v>208</v>
      </c>
    </row>
  </sheetData>
  <mergeCells count="3">
    <mergeCell ref="C1:I1"/>
    <mergeCell ref="C2:I2"/>
    <mergeCell ref="C3:I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dfvfd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efvev</dc:creator>
  <cp:lastModifiedBy>efvev</cp:lastModifiedBy>
  <dcterms:created xsi:type="dcterms:W3CDTF">2015-10-07T10:29:02Z</dcterms:created>
  <dcterms:modified xsi:type="dcterms:W3CDTF">2015-10-07T11:00:05Z</dcterms:modified>
</cp:coreProperties>
</file>